
<file path=[Content_Types].xml><?xml version="1.0" encoding="utf-8"?>
<Types xmlns="http://schemas.openxmlformats.org/package/2006/content-types">
  <Default Extension="png" ContentType="image/png"/>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autoCompressPictures="0" defaultThemeVersion="166925"/>
  <mc:AlternateContent xmlns:mc="http://schemas.openxmlformats.org/markup-compatibility/2006">
    <mc:Choice Requires="x15">
      <x15ac:absPath xmlns:x15ac="http://schemas.microsoft.com/office/spreadsheetml/2010/11/ac" url="/Users/robertrau/Documents/Bob Rau/Electronics/Schematics/Standard Measurement/Products/PocketFrog/PocketFrogHost/PocketFrog USB Flash Drive Images/PocketFrog FLASH Drive Image 20230529/Calculation Support/"/>
    </mc:Choice>
  </mc:AlternateContent>
  <xr:revisionPtr revIDLastSave="0" documentId="13_ncr:1_{ECA8070A-2316-2948-926E-6435426C1171}" xr6:coauthVersionLast="45" xr6:coauthVersionMax="45" xr10:uidLastSave="{00000000-0000-0000-0000-000000000000}"/>
  <bookViews>
    <workbookView xWindow="180" yWindow="1000" windowWidth="33200" windowHeight="18780" xr2:uid="{00000000-000D-0000-FFFF-FFFF00000000}"/>
  </bookViews>
  <sheets>
    <sheet name="Calculations" sheetId="1" r:id="rId1"/>
    <sheet name="Revis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345" i="1" l="1"/>
  <c r="N345" i="1"/>
  <c r="L345" i="1"/>
  <c r="J345" i="1"/>
  <c r="H345" i="1"/>
  <c r="F345" i="1"/>
  <c r="D345" i="1"/>
  <c r="C347" i="1" s="1"/>
  <c r="N327" i="1" l="1"/>
  <c r="L327" i="1"/>
  <c r="J327" i="1"/>
  <c r="H327" i="1"/>
  <c r="F327" i="1"/>
  <c r="D327" i="1"/>
  <c r="AK312" i="1"/>
  <c r="AI312" i="1"/>
  <c r="F312" i="1"/>
  <c r="G312" i="1"/>
  <c r="H312" i="1"/>
  <c r="I312" i="1"/>
  <c r="J312" i="1"/>
  <c r="K312" i="1"/>
  <c r="L312" i="1"/>
  <c r="M312" i="1"/>
  <c r="N312" i="1"/>
  <c r="O312" i="1"/>
  <c r="Q312" i="1"/>
  <c r="R312" i="1"/>
  <c r="S312" i="1"/>
  <c r="T312" i="1"/>
  <c r="U312" i="1"/>
  <c r="V312" i="1"/>
  <c r="W312" i="1"/>
  <c r="X312" i="1"/>
  <c r="Y312" i="1"/>
  <c r="Z312" i="1"/>
  <c r="AA312" i="1"/>
  <c r="AB312" i="1"/>
  <c r="AC312" i="1"/>
  <c r="AD312" i="1"/>
  <c r="AE312" i="1"/>
  <c r="AF312" i="1"/>
  <c r="AG312" i="1"/>
  <c r="E312" i="1"/>
  <c r="P312" i="1"/>
  <c r="D312" i="1"/>
  <c r="L298" i="1"/>
  <c r="J298" i="1"/>
  <c r="H298" i="1"/>
  <c r="F298" i="1"/>
  <c r="D298" i="1"/>
  <c r="C300" i="1" s="1"/>
  <c r="L283" i="1"/>
  <c r="J283" i="1"/>
  <c r="H283" i="1"/>
  <c r="F283" i="1"/>
  <c r="D283" i="1"/>
  <c r="C285" i="1" s="1"/>
  <c r="L268" i="1"/>
  <c r="J268" i="1"/>
  <c r="H268" i="1"/>
  <c r="F268" i="1"/>
  <c r="D268" i="1"/>
  <c r="L64" i="1"/>
  <c r="J64" i="1"/>
  <c r="H64" i="1"/>
  <c r="F64" i="1"/>
  <c r="C66" i="1" s="1"/>
  <c r="D64" i="1"/>
  <c r="H253" i="1"/>
  <c r="L253" i="1"/>
  <c r="J253" i="1"/>
  <c r="F253" i="1"/>
  <c r="D253" i="1"/>
  <c r="F238" i="1"/>
  <c r="D238" i="1"/>
  <c r="C240" i="1" s="1"/>
  <c r="L223" i="1"/>
  <c r="J223" i="1"/>
  <c r="P223" i="1"/>
  <c r="N223" i="1"/>
  <c r="H223" i="1"/>
  <c r="F223" i="1"/>
  <c r="T223" i="1"/>
  <c r="V223" i="1"/>
  <c r="R223" i="1"/>
  <c r="D223" i="1"/>
  <c r="CN206" i="1"/>
  <c r="J206" i="1"/>
  <c r="P206" i="1"/>
  <c r="X206" i="1"/>
  <c r="AB206" i="1"/>
  <c r="AH206" i="1"/>
  <c r="BB206" i="1"/>
  <c r="BJ206" i="1"/>
  <c r="BV206" i="1"/>
  <c r="CH206" i="1"/>
  <c r="CJ206" i="1"/>
  <c r="CP206" i="1"/>
  <c r="CT206" i="1"/>
  <c r="AJ206" i="1"/>
  <c r="BD206" i="1"/>
  <c r="BL206" i="1"/>
  <c r="BX206" i="1"/>
  <c r="D206" i="1"/>
  <c r="C208" i="1" s="1"/>
  <c r="F206" i="1"/>
  <c r="H206" i="1"/>
  <c r="L206" i="1"/>
  <c r="N206" i="1"/>
  <c r="R206" i="1"/>
  <c r="T206" i="1"/>
  <c r="V206" i="1"/>
  <c r="Z206" i="1"/>
  <c r="AD206" i="1"/>
  <c r="AF206" i="1"/>
  <c r="AL206" i="1"/>
  <c r="AN206" i="1"/>
  <c r="AP206" i="1"/>
  <c r="AR206" i="1"/>
  <c r="AT206" i="1"/>
  <c r="AV206" i="1"/>
  <c r="AX206" i="1"/>
  <c r="AZ206" i="1"/>
  <c r="BF206" i="1"/>
  <c r="BH206" i="1"/>
  <c r="BN206" i="1"/>
  <c r="BP206" i="1"/>
  <c r="BR206" i="1"/>
  <c r="BT206" i="1"/>
  <c r="BZ206" i="1"/>
  <c r="CB206" i="1"/>
  <c r="CD206" i="1"/>
  <c r="CF206" i="1"/>
  <c r="CL206" i="1"/>
  <c r="CR206" i="1"/>
  <c r="CV206" i="1"/>
  <c r="G167" i="1"/>
  <c r="E167" i="1"/>
  <c r="M167" i="1"/>
  <c r="Q167" i="1"/>
  <c r="K167" i="1"/>
  <c r="I167" i="1"/>
  <c r="O167" i="1"/>
  <c r="L181" i="1"/>
  <c r="H181" i="1"/>
  <c r="D181" i="1"/>
  <c r="F181" i="1"/>
  <c r="J181" i="1"/>
  <c r="M151" i="1"/>
  <c r="K151" i="1"/>
  <c r="D149" i="1"/>
  <c r="I151" i="1" s="1"/>
  <c r="F151" i="1"/>
  <c r="D151" i="1"/>
  <c r="C153" i="1" s="1"/>
  <c r="D135" i="1"/>
  <c r="F135" i="1"/>
  <c r="H135" i="1"/>
  <c r="J135" i="1"/>
  <c r="L135" i="1"/>
  <c r="N135" i="1"/>
  <c r="P135" i="1"/>
  <c r="C120" i="1"/>
  <c r="F120" i="1"/>
  <c r="H120" i="1"/>
  <c r="C122" i="1" s="1"/>
  <c r="C106" i="1"/>
  <c r="F106" i="1"/>
  <c r="C108" i="1" s="1"/>
  <c r="H106" i="1"/>
  <c r="C92" i="1"/>
  <c r="C94" i="1" s="1"/>
  <c r="F92" i="1"/>
  <c r="H92" i="1"/>
  <c r="C49" i="1"/>
  <c r="F49" i="1"/>
  <c r="H49" i="1"/>
  <c r="J49" i="1"/>
  <c r="D78" i="1"/>
  <c r="G78" i="1"/>
  <c r="I78" i="1"/>
  <c r="K78" i="1"/>
  <c r="M78" i="1"/>
  <c r="C80" i="1" s="1"/>
  <c r="O78" i="1"/>
  <c r="Q78" i="1"/>
  <c r="C35" i="1"/>
  <c r="F35" i="1"/>
  <c r="H22" i="1"/>
  <c r="F22" i="1"/>
  <c r="C22" i="1"/>
  <c r="C24" i="1" s="1"/>
  <c r="C329" i="1" l="1"/>
  <c r="C169" i="1"/>
  <c r="C51" i="1"/>
  <c r="C270" i="1"/>
  <c r="C255" i="1"/>
  <c r="C225" i="1"/>
  <c r="C183" i="1"/>
  <c r="C37" i="1"/>
  <c r="C314" i="1"/>
  <c r="C137" i="1"/>
</calcChain>
</file>

<file path=xl/sharedStrings.xml><?xml version="1.0" encoding="utf-8"?>
<sst xmlns="http://schemas.openxmlformats.org/spreadsheetml/2006/main" count="517" uniqueCount="225">
  <si>
    <t>Standard Measurement</t>
  </si>
  <si>
    <t>Sine wave</t>
  </si>
  <si>
    <t>Parameters</t>
  </si>
  <si>
    <t>Frequency</t>
  </si>
  <si>
    <t>Volts peak to peak</t>
  </si>
  <si>
    <t>Volts</t>
  </si>
  <si>
    <t>Hertz</t>
  </si>
  <si>
    <t>Formula</t>
  </si>
  <si>
    <t>Center offset</t>
  </si>
  <si>
    <t>&lt;offset&gt;+&lt;Vpp&gt;*sin(&lt;Hertz&gt;*6.2831853*srunning)</t>
  </si>
  <si>
    <t>Calculation for PocketFrog</t>
  </si>
  <si>
    <t>+</t>
  </si>
  <si>
    <t>*sin(</t>
  </si>
  <si>
    <t>*6.2831853*srunning)</t>
  </si>
  <si>
    <t>Tangent wave</t>
  </si>
  <si>
    <t>&lt;offset&gt;+tan( &lt;Hertz&gt;*3.14159265*srunning)</t>
  </si>
  <si>
    <t>+tan(</t>
  </si>
  <si>
    <t>*3.14159265*srunning)</t>
  </si>
  <si>
    <t>*2*srunning) mod 2)</t>
  </si>
  <si>
    <t>&lt;offset&gt;-&lt;Vpp&gt;/2+&lt;Vpp&gt;*floor(( &lt;Hertz&gt;*2*srunning) mod 2)</t>
  </si>
  <si>
    <t>-</t>
  </si>
  <si>
    <t>*floor((</t>
  </si>
  <si>
    <t>Triangle wave</t>
  </si>
  <si>
    <t>if(floor(srunning*( &lt;Hertz&gt; /.01)) mod 100 &gt;= 50, &lt;offset&gt;+(floor(srunning*( &lt;Hertz&gt; /.01)) mod 100-50)/50*&lt;Vpp&gt;, &lt;Vpp&gt;+&lt;offset&gt;-(floor((srunning)*( &lt;Hertz&gt; /.01)) mod 100)/50*&lt;Vpp&gt;)</t>
  </si>
  <si>
    <t xml:space="preserve">if(floor(srunning*( </t>
  </si>
  <si>
    <t xml:space="preserve"> /.01)) mod 100 &gt;= 50,</t>
  </si>
  <si>
    <t xml:space="preserve">+(floor(srunning*( </t>
  </si>
  <si>
    <t xml:space="preserve"> /.01)) mod 100-50)/50*</t>
  </si>
  <si>
    <t>,</t>
  </si>
  <si>
    <t>-(floor((srunning)*(</t>
  </si>
  <si>
    <t xml:space="preserve"> /.01)) mod 100)/50*</t>
  </si>
  <si>
    <t>)</t>
  </si>
  <si>
    <t>Revision</t>
  </si>
  <si>
    <t>Date</t>
  </si>
  <si>
    <t>Sawtooth wave</t>
  </si>
  <si>
    <r>
      <t xml:space="preserve">slow rise   </t>
    </r>
    <r>
      <rPr>
        <sz val="12"/>
        <color theme="1"/>
        <rFont val="Monaco"/>
        <family val="2"/>
      </rPr>
      <t>/|/|/|/|</t>
    </r>
  </si>
  <si>
    <t>&lt;Vpp&gt;*0.000523560 * (usrunning * ( &lt;Hertz&gt; / 523.56) mod 1911) + (&lt;offset&gt;-(&lt;Vpp&gt;))</t>
  </si>
  <si>
    <t xml:space="preserve">*0.000523560 * (usrunning * ( </t>
  </si>
  <si>
    <t xml:space="preserve"> / 523.56) mod 1911) + (</t>
  </si>
  <si>
    <r>
      <t xml:space="preserve">slow fall   </t>
    </r>
    <r>
      <rPr>
        <sz val="12"/>
        <color theme="1"/>
        <rFont val="Monaco"/>
        <family val="2"/>
      </rPr>
      <t>|\|\|\|\</t>
    </r>
  </si>
  <si>
    <t xml:space="preserve"> / 523.56) mod 1911)</t>
  </si>
  <si>
    <t>Instructions</t>
  </si>
  <si>
    <t>1) Select a periodic waveform from the list below</t>
  </si>
  <si>
    <t>2) Enter your parameters in the green cells</t>
  </si>
  <si>
    <t>Full wave rectified sine wave</t>
  </si>
  <si>
    <t>(&lt;offset&gt;+&lt;Vpp&gt;/2+&lt;Vpp&gt;*2*abs(sin(&lt;Hertz&gt;*3.1415926535*srunning)))</t>
  </si>
  <si>
    <t>*3.1415926535*srunning))</t>
  </si>
  <si>
    <t>*abs(sin(</t>
  </si>
  <si>
    <t>Power supply, filtered output</t>
  </si>
  <si>
    <t>Slope</t>
  </si>
  <si>
    <t>v/s</t>
  </si>
  <si>
    <t xml:space="preserve">&lt;offset&gt;+(&lt;Vpp&gt;/2)-&lt;Vpp&gt;*0.000523560 * (usrunning * ( &lt;Hertz&gt; / 523.56) mod 1911) </t>
  </si>
  <si>
    <t>max((</t>
  </si>
  <si>
    <t>+((</t>
  </si>
  <si>
    <t>)-(</t>
  </si>
  <si>
    <t xml:space="preserve"> * (usrunning * (</t>
  </si>
  <si>
    <t>) mod 1911) )))</t>
  </si>
  <si>
    <t>*abs(cos(</t>
  </si>
  <si>
    <t>max((&lt;offset&gt;-&lt;Vpp&gt;/2+&lt;Vpp&gt;*abs(cos(&lt;Hertz&gt;*3.1415926535*(srunning-0.1)))),&lt;offset&gt;+((&lt;slope&gt;*&lt;Hertz&gt;)/2)-(&lt;slope&gt;*&lt;Hertz&gt;)*0.000523560 * (usrunning * ( &lt;Hertz&gt; / 523.56) mod 1911) )</t>
  </si>
  <si>
    <t>*3.1415926535*(srunning-0.1)))),</t>
  </si>
  <si>
    <t>3) Copy the yellow cell and paste it into the calculation field in the PocketFrog calculation window.</t>
  </si>
  <si>
    <t>Delay to pulse</t>
  </si>
  <si>
    <t>Duration</t>
  </si>
  <si>
    <t>seconds</t>
  </si>
  <si>
    <t>if(srunning&lt;=</t>
  </si>
  <si>
    <t>Starting voltage</t>
  </si>
  <si>
    <t>Pulse voltage</t>
  </si>
  <si>
    <t>Slew rate=</t>
  </si>
  <si>
    <t>))</t>
  </si>
  <si>
    <t>(Pulse voltage may be greater or less than starting votage)</t>
  </si>
  <si>
    <t>if(srunning&lt;=&lt;Delay to Pulse&gt;,&lt;Starting voltage&gt;,if(srunning&lt;=&lt;Delay to Pulse + Duration + Slew rate&gt;,&lt;Pulse voltage&gt;,&lt;Starting voltage&gt;))</t>
  </si>
  <si>
    <t>(Time at "Pulse voltage")</t>
  </si>
  <si>
    <t>if(floor((&lt;usrunning&gt;-1000)*0.000005) mod VotDropOutsPlus1 &gt; DropOutTimeSteps,StartVolts-0.1*floor((usrunning-1000)*0.000005/VotDropOutsPlus1),StartVolts)</t>
  </si>
  <si>
    <t>Drop-out Duration</t>
  </si>
  <si>
    <t>Drop-out Step</t>
  </si>
  <si>
    <t>*floor((srunning)*</t>
  </si>
  <si>
    <t>/100),</t>
  </si>
  <si>
    <t xml:space="preserve">) mod 100 &gt; </t>
  </si>
  <si>
    <t>if(floor(srunning*</t>
  </si>
  <si>
    <t>Ending voltage</t>
  </si>
  <si>
    <t>&lt;Starting Volts&gt;-&lt;srunning&gt;*((&lt;Starting voltage&gt;-&lt;Ending voltage&gt;)/&lt;Duration&gt;)</t>
  </si>
  <si>
    <t>- srunning * ((</t>
  </si>
  <si>
    <t>)/</t>
  </si>
  <si>
    <t>(Must be 1.0 volts to 20.0 volts)</t>
  </si>
  <si>
    <t>max(</t>
  </si>
  <si>
    <t>),</t>
  </si>
  <si>
    <t>Minimum Drop-out voltage</t>
  </si>
  <si>
    <t>Drop-out cycle Period</t>
  </si>
  <si>
    <t>Battery voltage (Vb)</t>
  </si>
  <si>
    <t>Hz</t>
  </si>
  <si>
    <t>(Must be 2Hz or less)</t>
  </si>
  <si>
    <t>if(srunning&lt;</t>
  </si>
  <si>
    <t>Vb to Vt fall time (Tf)</t>
  </si>
  <si>
    <t>,if(srunning&lt;</t>
  </si>
  <si>
    <t>,max((srunning*((</t>
  </si>
  <si>
    <t>)+(</t>
  </si>
  <si>
    <t>Sustain before crank (Vs)</t>
  </si>
  <si>
    <t>Crank minimum (Va)</t>
  </si>
  <si>
    <t>Crank ripple p-p (Vr)</t>
  </si>
  <si>
    <t>Vbat time before fall to Vt (Ta)</t>
  </si>
  <si>
    <t>Time at Vt (T4)</t>
  </si>
  <si>
    <t>lowest drop (Vt)</t>
  </si>
  <si>
    <t>Rise time to Vs (T5)</t>
  </si>
  <si>
    <t>Time at Vs (T6)</t>
  </si>
  <si>
    <t>Rise time to Va (T7)</t>
  </si>
  <si>
    <t>Duration of crank ripple (T8)</t>
  </si>
  <si>
    <t>Rise time to Vbat (Tr)</t>
  </si>
  <si>
    <t>Frequency of ripple (f)</t>
  </si>
  <si>
    <t>-((</t>
  </si>
  <si>
    <t>)*</t>
  </si>
  <si>
    <t>)),</t>
  </si>
  <si>
    <t>),if(srunning&lt;</t>
  </si>
  <si>
    <t>,srunning*((</t>
  </si>
  <si>
    <r>
      <t>-(</t>
    </r>
    <r>
      <rPr>
        <sz val="12"/>
        <color indexed="206"/>
        <rFont val="Calibri"/>
        <family val="2"/>
      </rPr>
      <t>(</t>
    </r>
  </si>
  <si>
    <t>)*(</t>
  </si>
  <si>
    <t>,(srunning*</t>
  </si>
  <si>
    <t>,(</t>
  </si>
  <si>
    <t>-cos(</t>
  </si>
  <si>
    <t>,srunning*</t>
  </si>
  <si>
    <t>+(</t>
  </si>
  <si>
    <t>*srunning)),if(srunning&lt;</t>
  </si>
  <si>
    <t>)),if(srunning&lt;</t>
  </si>
  <si>
    <t>)))))))</t>
  </si>
  <si>
    <t>if(srunning&lt;Ta,Vb,if(srunning&lt;Ta+Tf, max( (srunning*((Vt-Vb)/Tf)+(Vt-((Vt-Vb)/Tf) * Ta + Tf)) , Vt), if(srunning&lt;Ta+Tf+T4,Vt,if(srunning&lt;Ta+Tf+T4+T5,(srunning*((Vs-Vt)/T5)+(Vs-((Vs-Vt)/T5)*(Ta+Tf+T4+T5))),if(srunning&lt;Ta+Tf+T4+T5+T6,Vs,if(srunning&lt;Ta+Tf+T4+T5+T6+T7,(srunning*((Va-Vs)/T7)+(Va-((Va-Vs)/T7)*(Ta+Tf+T4+T5+T6+T7))),if(srunning&lt;Ta+Tf+T4+T5+T6+T7+T8,((Va+(Vr/2)-cos(f*6.2831853*srunning))),if(srunning&lt;Ta+Tf+T4+T5+T6+T7+T8+Tr,(srunning*((Vb-(Va+Vr))/Tr)+(Vb-((Vb-(Va+Vr))/Tr)*(Ta+Tf+T4+T5+T6+T7+T8+Tr))),Vb))))))))</t>
  </si>
  <si>
    <t>Load Step Response</t>
  </si>
  <si>
    <t>Nominal Voltage</t>
  </si>
  <si>
    <t>Initial Voltage Dip</t>
  </si>
  <si>
    <t>Sustained Voltage Dip</t>
  </si>
  <si>
    <t>Duration of Initial Dip</t>
  </si>
  <si>
    <t>Duration of Full Load Step</t>
  </si>
  <si>
    <t>Delay Before Start</t>
  </si>
  <si>
    <t>,min(</t>
  </si>
  <si>
    <t>,max((</t>
  </si>
  <si>
    <t>),(srunning*</t>
  </si>
  <si>
    <t>)))</t>
  </si>
  <si>
    <t>)))),if(srunning&lt;</t>
  </si>
  <si>
    <t>if(srunning&lt;Tdbs,Vn,if(srunning&lt;Tdbs+Tivd, min(Vsvd, max((Vn-Vivd),(srunning*((Vsvd-Vivd)/(Tdbs-(Tdbs+Tdid)))+(Vid-((Vsvd-Vivd)/(Tdbs-(Tdbs+Tdid))))))),if(srunning&lt;Tdbs+Tdid,Vn-Vsvd,Vn)))</t>
  </si>
  <si>
    <t>Pulse Width to Power Supply Voltage</t>
  </si>
  <si>
    <t>Minimum Pulse Width</t>
  </si>
  <si>
    <t>Maximum Pulse Width</t>
  </si>
  <si>
    <t>Minimum Voltage</t>
  </si>
  <si>
    <t>Maximum Voltage</t>
  </si>
  <si>
    <t>pulsewidth*((MaxV-MinV)/(MaxPW-MinPW))+(MaxV-(((MaxV-MinV)/(MaxPW-MinPW))*MaxPW))</t>
  </si>
  <si>
    <t>pulsewidthhigh/1000000*(</t>
  </si>
  <si>
    <t>Fixed resistor to Power Supply Ouptut</t>
  </si>
  <si>
    <t>Ohms</t>
  </si>
  <si>
    <t>Thermistor Steinhart &amp; Hart Coef. A</t>
  </si>
  <si>
    <t>Thermistor Steinhart &amp; Hart Coef. B</t>
  </si>
  <si>
    <t>Thermistor Steinhart &amp; Hart Coef. C</t>
  </si>
  <si>
    <t>1/(</t>
  </si>
  <si>
    <t>)))+</t>
  </si>
  <si>
    <t>)))^3) +(-273.15)</t>
  </si>
  <si>
    <t>Battery discharge.     Can generate pulses similar to ISO16750-2 section 4.5</t>
  </si>
  <si>
    <t>Automotive voltage drop-out test.    Can generate pulses like ISO16750-2 section 4.6.2</t>
  </si>
  <si>
    <t>Automotive pulse test,single pulse, firmware stress test.   Can generate pulses like ISO16750-2 section 4.6.1</t>
  </si>
  <si>
    <t>Automotive cold crank.     Can generate pulses similar to ISO16750-2 section 4.6.3</t>
  </si>
  <si>
    <t xml:space="preserve"> Thermistor Readings in °C.    (Thermistor from power supply output to voltmeter, Fixed resistor from voltmeter to ground)</t>
  </si>
  <si>
    <t>Concatenation</t>
  </si>
  <si>
    <t>First Pulse Width (High/Low)</t>
  </si>
  <si>
    <t>Second Pulse Width (Low/High)</t>
  </si>
  <si>
    <t>First Pulse Width Volts</t>
  </si>
  <si>
    <t>Second Pulse Width Volts</t>
  </si>
  <si>
    <t>Square wave, 50% duty cycle</t>
  </si>
  <si>
    <t>Square wave by pulse widths</t>
  </si>
  <si>
    <t>if( floor(( 10*srunning) mod floor(((First+Second)*10) + 0.5 )) &gt; (floor(((First)*10) + 0.5 )),Vsecond,Vfirst)</t>
  </si>
  <si>
    <t>if( floor(( 10 * srunning) mod floor(((</t>
  </si>
  <si>
    <t>)*10)+0.5)),</t>
  </si>
  <si>
    <t>PocketFrog calculation builder worksheet</t>
  </si>
  <si>
    <t>0.1 second resolution</t>
  </si>
  <si>
    <t>5 Hz maximum</t>
  </si>
  <si>
    <t>)*10)+0.5)) &gt;= (floor(((</t>
  </si>
  <si>
    <t>(Must be from (1.0+Initial Dip) volts to 20.0 volts)</t>
  </si>
  <si>
    <t>1/(A+B*(LOG(voltage/((pwrvoltage-voltage)/R)))+C*pow((LOG((voltage)/((pwrvoltage-voltage)/R))),3)) + (-273.15)</t>
  </si>
  <si>
    <t>*(log((pwrvoltage-voltage)/(voltage/</t>
  </si>
  <si>
    <t>*(LOG((pwrvoltage-voltage)/(voltage/</t>
  </si>
  <si>
    <t xml:space="preserve"> Thermistor Readings in °F.    (Thermistor from power supply output to voltmeter, Fixed resistor from voltmeter to ground)</t>
  </si>
  <si>
    <t>)))^3)-273.15)*(9/5)+32</t>
  </si>
  <si>
    <t>(1/(</t>
  </si>
  <si>
    <t xml:space="preserve"> Thermistor Readings in °C.    (Thermistor from ground to voltmeter, Fixed resistor from voltmeter to power supply output)</t>
  </si>
  <si>
    <t>*(log((voltage)/((pwrvoltage-voltage)/</t>
  </si>
  <si>
    <t>*(LOG((voltage)/((pwrvoltage-voltage)/</t>
  </si>
  <si>
    <t xml:space="preserve"> Thermistor Readings in °F.    (Thermistor from ground to voltmeter, Fixed resistor from voltmeter to power supply output)</t>
  </si>
  <si>
    <t>Rev.</t>
  </si>
  <si>
    <t>Changes</t>
  </si>
  <si>
    <t>Initial release</t>
  </si>
  <si>
    <t>Fixed bug in thermistor calculations &amp; added thermistor on bottom versions</t>
  </si>
  <si>
    <t>List of voltages to be sent to the power supply</t>
  </si>
  <si>
    <t>Number of voltage setting in list</t>
  </si>
  <si>
    <t>Period of each value</t>
  </si>
  <si>
    <t>none</t>
  </si>
  <si>
    <t>)+1,5))</t>
  </si>
  <si>
    <t xml:space="preserve">",5*floor(srunning * </t>
  </si>
  <si>
    <t xml:space="preserve"> mod </t>
  </si>
  <si>
    <t>val(mid("</t>
  </si>
  <si>
    <t>All values must be &gt; 1.00V and &lt;= 20.10 volts, 30 values maximum as written</t>
  </si>
  <si>
    <t>count (all other cells above must be blank)</t>
  </si>
  <si>
    <t>Map a voltmeter range to a power supply output range</t>
  </si>
  <si>
    <t>Voltmeter input V1</t>
  </si>
  <si>
    <t>Voltmeter input V2</t>
  </si>
  <si>
    <t>Power supply output at V1 in</t>
  </si>
  <si>
    <t>Power supply output at V2 in</t>
  </si>
  <si>
    <t>((VoutMax-VoutMin)/(VinMax-VinMin)</t>
  </si>
  <si>
    <t>)/(</t>
  </si>
  <si>
    <t xml:space="preserve">))*(voltage - </t>
  </si>
  <si>
    <t>(((</t>
  </si>
  <si>
    <t>)+</t>
  </si>
  <si>
    <t>Must be between 1.0 and 20.1</t>
  </si>
  <si>
    <t>Must be between 0 and 40</t>
  </si>
  <si>
    <t>Sweep Brief Power On Cycles</t>
  </si>
  <si>
    <t>This waveform starts with a Initial voltage period to allow DUT capacitors to dischange. Then power is applied for a momentary power period that will sweep from TestOnMinimum to TestOnMaximum.  rest of the period for DUT operation verification</t>
  </si>
  <si>
    <t>This test is used for testing brief power intervals that may challenge software to fully write EEPROM or backup RAM in application that require parameters to be saved thorugh power outages.</t>
  </si>
  <si>
    <t>Period of each trial</t>
  </si>
  <si>
    <t>Test On Mimimum time/increment</t>
  </si>
  <si>
    <t>Test On Maximum time</t>
  </si>
  <si>
    <t>Initial power off voltage</t>
  </si>
  <si>
    <t>1.0 volt minimum</t>
  </si>
  <si>
    <t>Test Volts</t>
  </si>
  <si>
    <t>1.0 to 20.1 volts</t>
  </si>
  <si>
    <t>if((srunning/</t>
  </si>
  <si>
    <t xml:space="preserve">) mod </t>
  </si>
  <si>
    <t xml:space="preserve"> &lt;(</t>
  </si>
  <si>
    <t>-(srunning/</t>
  </si>
  <si>
    <t>) mod (</t>
  </si>
  <si>
    <t>0.1 second resolution, must be integer multiple of increment</t>
  </si>
  <si>
    <t>Send a sequence of arbitrary  values from a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</si>
</sst>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000000000000"/>
    <numFmt numFmtId="166" formatCode="0.0"/>
    <numFmt numFmtId="167" formatCode="00.00"/>
    <numFmt numFmtId="168" formatCode="0.000"/>
  </numFmts>
  <fonts count="15" x14ac:knownFonts="1">
    <font>
      <sz val="12"/>
      <color theme="1"/>
      <name val="Calibri"/>
      <family val="2"/>
      <scheme val="minor"/>
    </font>
    <font>
      <b/>
      <sz val="20"/>
      <color theme="1"/>
      <name val="Calibri"/>
      <family val="2"/>
      <scheme val="minor"/>
    </font>
    <font>
      <b/>
      <sz val="12"/>
      <color theme="1"/>
      <name val="Calibri"/>
      <family val="2"/>
      <scheme val="minor"/>
    </font>
    <font>
      <sz val="12"/>
      <color theme="1"/>
      <name val="Monaco"/>
      <family val="2"/>
    </font>
    <font>
      <b/>
      <sz val="16"/>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sz val="12"/>
      <color indexed="206"/>
      <name val="Calibri"/>
      <family val="2"/>
    </font>
    <font>
      <sz val="12"/>
      <name val="Calibri"/>
      <family val="2"/>
      <scheme val="minor"/>
    </font>
    <font>
      <sz val="10"/>
      <color theme="1"/>
      <name val="Arial Narrow"/>
      <family val="2"/>
    </font>
    <font>
      <sz val="10"/>
      <color theme="1"/>
      <name val="Calibri"/>
      <family val="2"/>
      <scheme val="minor"/>
    </font>
    <font>
      <sz val="10"/>
      <color theme="1"/>
      <name val="Arial Narrow"/>
      <family val="2"/>
    </font>
    <font>
      <sz val="12"/>
      <color theme="1"/>
      <name val="Arial Narrow"/>
      <family val="2"/>
    </font>
    <font>
      <sz val="8"/>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1"/>
        <bgColor indexed="64"/>
      </patternFill>
    </fill>
    <fill>
      <patternFill patternType="solid">
        <fgColor rgb="FFFFFF00"/>
        <bgColor indexed="64"/>
      </patternFill>
    </fill>
  </fills>
  <borders count="1">
    <border>
      <left/>
      <right/>
      <top/>
      <bottom/>
      <diagonal/>
    </border>
  </borders>
  <cellStyleXfs count="431">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37">
    <xf numFmtId="0" fontId="0" fillId="0" borderId="0" xfId="0"/>
    <xf numFmtId="0" fontId="1" fillId="0" borderId="0" xfId="0" applyFont="1"/>
    <xf numFmtId="0" fontId="0" fillId="2" borderId="0" xfId="0" applyFill="1"/>
    <xf numFmtId="49" fontId="0" fillId="0" borderId="0" xfId="0" applyNumberFormat="1"/>
    <xf numFmtId="0" fontId="0" fillId="3" borderId="0" xfId="0" applyFill="1"/>
    <xf numFmtId="14" fontId="0" fillId="0" borderId="0" xfId="0" applyNumberFormat="1"/>
    <xf numFmtId="0" fontId="2" fillId="0" borderId="0" xfId="0" applyFont="1"/>
    <xf numFmtId="0" fontId="0" fillId="4" borderId="0" xfId="0" applyFill="1"/>
    <xf numFmtId="0" fontId="0" fillId="0" borderId="0" xfId="0" applyFill="1"/>
    <xf numFmtId="0" fontId="4" fillId="0" borderId="0" xfId="0" applyFont="1"/>
    <xf numFmtId="14" fontId="4" fillId="0" borderId="0" xfId="0" applyNumberFormat="1" applyFont="1"/>
    <xf numFmtId="0" fontId="0" fillId="0" borderId="0" xfId="0" applyAlignment="1">
      <alignment horizontal="right"/>
    </xf>
    <xf numFmtId="0" fontId="7" fillId="0" borderId="0" xfId="0" applyFont="1"/>
    <xf numFmtId="0" fontId="9" fillId="0" borderId="0" xfId="0" applyFont="1"/>
    <xf numFmtId="164" fontId="0" fillId="0" borderId="0" xfId="0" applyNumberFormat="1"/>
    <xf numFmtId="0" fontId="0" fillId="0" borderId="0" xfId="0" applyFont="1" applyAlignment="1">
      <alignment horizontal="right"/>
    </xf>
    <xf numFmtId="165" fontId="10" fillId="2" borderId="0" xfId="0" applyNumberFormat="1" applyFont="1" applyFill="1"/>
    <xf numFmtId="0" fontId="2" fillId="0" borderId="0" xfId="0" applyFont="1" applyAlignment="1">
      <alignment horizontal="left"/>
    </xf>
    <xf numFmtId="0" fontId="11" fillId="0" borderId="0" xfId="0" applyFont="1"/>
    <xf numFmtId="165" fontId="12" fillId="0" borderId="0" xfId="0" applyNumberFormat="1" applyFont="1"/>
    <xf numFmtId="49" fontId="11" fillId="0" borderId="0" xfId="0" applyNumberFormat="1" applyFont="1"/>
    <xf numFmtId="165" fontId="11" fillId="0" borderId="0" xfId="0" applyNumberFormat="1" applyFont="1"/>
    <xf numFmtId="164" fontId="11" fillId="0" borderId="0" xfId="0" applyNumberFormat="1" applyFont="1"/>
    <xf numFmtId="0" fontId="0" fillId="0" borderId="0" xfId="0" applyAlignment="1">
      <alignment horizontal="center"/>
    </xf>
    <xf numFmtId="14" fontId="0" fillId="0" borderId="0" xfId="0" applyNumberFormat="1" applyAlignment="1">
      <alignment horizontal="center"/>
    </xf>
    <xf numFmtId="1" fontId="13" fillId="2" borderId="0" xfId="0" applyNumberFormat="1" applyFont="1" applyFill="1"/>
    <xf numFmtId="166" fontId="13" fillId="2" borderId="0" xfId="0" applyNumberFormat="1" applyFont="1" applyFill="1"/>
    <xf numFmtId="167" fontId="0" fillId="0" borderId="0" xfId="0" applyNumberFormat="1"/>
    <xf numFmtId="167" fontId="0" fillId="0" borderId="0" xfId="0" applyNumberFormat="1" applyFont="1" applyAlignment="1">
      <alignment horizontal="right"/>
    </xf>
    <xf numFmtId="167" fontId="0" fillId="2" borderId="0" xfId="0" applyNumberFormat="1" applyFill="1"/>
    <xf numFmtId="167" fontId="0" fillId="0" borderId="0" xfId="0" applyNumberFormat="1" applyFont="1"/>
    <xf numFmtId="167" fontId="13" fillId="0" borderId="0" xfId="0" applyNumberFormat="1" applyFont="1"/>
    <xf numFmtId="167" fontId="0" fillId="0" borderId="0" xfId="0" quotePrefix="1" applyNumberFormat="1" applyFont="1"/>
    <xf numFmtId="0" fontId="0" fillId="0" borderId="0" xfId="0" quotePrefix="1"/>
    <xf numFmtId="166" fontId="0" fillId="2" borderId="0" xfId="0" applyNumberFormat="1" applyFill="1"/>
    <xf numFmtId="168" fontId="0" fillId="2" borderId="0" xfId="0" applyNumberFormat="1" applyFill="1"/>
    <xf numFmtId="166" fontId="0" fillId="0" borderId="0" xfId="0" applyNumberFormat="1"/>
  </cellXfs>
  <cellStyles count="43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tif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1479843</xdr:colOff>
      <xdr:row>124</xdr:row>
      <xdr:rowOff>191086</xdr:rowOff>
    </xdr:from>
    <xdr:to>
      <xdr:col>9</xdr:col>
      <xdr:colOff>402883</xdr:colOff>
      <xdr:row>130</xdr:row>
      <xdr:rowOff>110496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864643" y="21618526"/>
          <a:ext cx="2875280" cy="1077650"/>
        </a:xfrm>
        <a:prstGeom prst="rect">
          <a:avLst/>
        </a:prstGeom>
      </xdr:spPr>
    </xdr:pic>
    <xdr:clientData/>
  </xdr:twoCellAnchor>
  <xdr:twoCellAnchor editAs="oneCell">
    <xdr:from>
      <xdr:col>6</xdr:col>
      <xdr:colOff>0</xdr:colOff>
      <xdr:row>111</xdr:row>
      <xdr:rowOff>0</xdr:rowOff>
    </xdr:from>
    <xdr:to>
      <xdr:col>10</xdr:col>
      <xdr:colOff>10160</xdr:colOff>
      <xdr:row>117</xdr:row>
      <xdr:rowOff>0</xdr:rowOff>
    </xdr:to>
    <xdr:pic>
      <xdr:nvPicPr>
        <xdr:cNvPr id="5" name="Picture 4" descr="Half Wave Rect Sine.pn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868160" y="18917920"/>
          <a:ext cx="3677920" cy="1158240"/>
        </a:xfrm>
        <a:prstGeom prst="rect">
          <a:avLst/>
        </a:prstGeom>
      </xdr:spPr>
    </xdr:pic>
    <xdr:clientData/>
  </xdr:twoCellAnchor>
  <xdr:twoCellAnchor editAs="oneCell">
    <xdr:from>
      <xdr:col>9</xdr:col>
      <xdr:colOff>10160</xdr:colOff>
      <xdr:row>186</xdr:row>
      <xdr:rowOff>0</xdr:rowOff>
    </xdr:from>
    <xdr:to>
      <xdr:col>14</xdr:col>
      <xdr:colOff>71120</xdr:colOff>
      <xdr:row>198</xdr:row>
      <xdr:rowOff>121920</xdr:rowOff>
    </xdr:to>
    <xdr:pic>
      <xdr:nvPicPr>
        <xdr:cNvPr id="6" name="Picture 5" descr="Cold Crank.pn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347200" y="33395920"/>
          <a:ext cx="4551680" cy="2438400"/>
        </a:xfrm>
        <a:prstGeom prst="rect">
          <a:avLst/>
        </a:prstGeom>
      </xdr:spPr>
    </xdr:pic>
    <xdr:clientData/>
  </xdr:twoCellAnchor>
  <xdr:twoCellAnchor editAs="oneCell">
    <xdr:from>
      <xdr:col>7</xdr:col>
      <xdr:colOff>0</xdr:colOff>
      <xdr:row>97</xdr:row>
      <xdr:rowOff>1</xdr:rowOff>
    </xdr:from>
    <xdr:to>
      <xdr:col>11</xdr:col>
      <xdr:colOff>30480</xdr:colOff>
      <xdr:row>102</xdr:row>
      <xdr:rowOff>71121</xdr:rowOff>
    </xdr:to>
    <xdr:pic>
      <xdr:nvPicPr>
        <xdr:cNvPr id="7" name="Picture 6" descr="Slow Fall.png">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691120" y="16205201"/>
          <a:ext cx="3698240" cy="1046480"/>
        </a:xfrm>
        <a:prstGeom prst="rect">
          <a:avLst/>
        </a:prstGeom>
      </xdr:spPr>
    </xdr:pic>
    <xdr:clientData/>
  </xdr:twoCellAnchor>
  <xdr:twoCellAnchor editAs="oneCell">
    <xdr:from>
      <xdr:col>7</xdr:col>
      <xdr:colOff>0</xdr:colOff>
      <xdr:row>83</xdr:row>
      <xdr:rowOff>0</xdr:rowOff>
    </xdr:from>
    <xdr:to>
      <xdr:col>11</xdr:col>
      <xdr:colOff>71120</xdr:colOff>
      <xdr:row>89</xdr:row>
      <xdr:rowOff>121920</xdr:rowOff>
    </xdr:to>
    <xdr:pic>
      <xdr:nvPicPr>
        <xdr:cNvPr id="8" name="Picture 7" descr="Slow Rise.png">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7691120" y="13492480"/>
          <a:ext cx="3738880" cy="1290320"/>
        </a:xfrm>
        <a:prstGeom prst="rect">
          <a:avLst/>
        </a:prstGeom>
      </xdr:spPr>
    </xdr:pic>
    <xdr:clientData/>
  </xdr:twoCellAnchor>
  <xdr:twoCellAnchor editAs="oneCell">
    <xdr:from>
      <xdr:col>10</xdr:col>
      <xdr:colOff>0</xdr:colOff>
      <xdr:row>213</xdr:row>
      <xdr:rowOff>0</xdr:rowOff>
    </xdr:from>
    <xdr:to>
      <xdr:col>13</xdr:col>
      <xdr:colOff>294640</xdr:colOff>
      <xdr:row>218</xdr:row>
      <xdr:rowOff>185977</xdr:rowOff>
    </xdr:to>
    <xdr:pic>
      <xdr:nvPicPr>
        <xdr:cNvPr id="3" name="Picture 2">
          <a:extLst>
            <a:ext uri="{FF2B5EF4-FFF2-40B4-BE49-F238E27FC236}">
              <a16:creationId xmlns:a16="http://schemas.microsoft.com/office/drawing/2014/main" id="{F5CB59DB-BB70-A848-A357-1BB0857B3312}"/>
            </a:ext>
          </a:extLst>
        </xdr:cNvPr>
        <xdr:cNvPicPr>
          <a:picLocks noChangeAspect="1"/>
        </xdr:cNvPicPr>
      </xdr:nvPicPr>
      <xdr:blipFill>
        <a:blip xmlns:r="http://schemas.openxmlformats.org/officeDocument/2006/relationships" r:embed="rId6"/>
        <a:stretch>
          <a:fillRect/>
        </a:stretch>
      </xdr:blipFill>
      <xdr:spPr>
        <a:xfrm>
          <a:off x="10210800" y="43657520"/>
          <a:ext cx="2763520" cy="12019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W347"/>
  <sheetViews>
    <sheetView tabSelected="1" zoomScale="125" zoomScaleNormal="125" zoomScalePageLayoutView="125" workbookViewId="0">
      <selection activeCell="B11" sqref="B11"/>
    </sheetView>
  </sheetViews>
  <sheetFormatPr baseColWidth="10" defaultRowHeight="16" x14ac:dyDescent="0.2"/>
  <cols>
    <col min="2" max="2" width="12.1640625" customWidth="1"/>
    <col min="3" max="3" width="29.33203125" customWidth="1"/>
    <col min="4" max="4" width="13.83203125" customWidth="1"/>
    <col min="5" max="5" width="6" customWidth="1"/>
    <col min="6" max="6" width="19.5" customWidth="1"/>
    <col min="7" max="9" width="10.83203125" customWidth="1"/>
    <col min="10" max="10" width="15.6640625" customWidth="1"/>
    <col min="11" max="72" width="10.83203125" customWidth="1"/>
  </cols>
  <sheetData>
    <row r="1" spans="1:6" s="1" customFormat="1" ht="26" x14ac:dyDescent="0.3">
      <c r="A1" s="1" t="s">
        <v>167</v>
      </c>
    </row>
    <row r="2" spans="1:6" x14ac:dyDescent="0.2">
      <c r="A2" t="s">
        <v>0</v>
      </c>
    </row>
    <row r="3" spans="1:6" x14ac:dyDescent="0.2">
      <c r="A3" t="s">
        <v>32</v>
      </c>
      <c r="B3">
        <v>0.3</v>
      </c>
    </row>
    <row r="4" spans="1:6" x14ac:dyDescent="0.2">
      <c r="A4" t="s">
        <v>33</v>
      </c>
      <c r="B4" s="5">
        <v>45074</v>
      </c>
    </row>
    <row r="5" spans="1:6" x14ac:dyDescent="0.2">
      <c r="B5" s="5"/>
    </row>
    <row r="6" spans="1:6" x14ac:dyDescent="0.2">
      <c r="B6" s="5"/>
    </row>
    <row r="7" spans="1:6" s="9" customFormat="1" ht="21" x14ac:dyDescent="0.25">
      <c r="A7" s="9" t="s">
        <v>41</v>
      </c>
      <c r="B7" s="10"/>
    </row>
    <row r="8" spans="1:6" s="9" customFormat="1" ht="21" x14ac:dyDescent="0.25">
      <c r="B8" s="10" t="s">
        <v>42</v>
      </c>
    </row>
    <row r="9" spans="1:6" s="9" customFormat="1" ht="21" x14ac:dyDescent="0.25">
      <c r="B9" s="10" t="s">
        <v>43</v>
      </c>
    </row>
    <row r="10" spans="1:6" s="9" customFormat="1" ht="21" x14ac:dyDescent="0.25">
      <c r="B10" s="10" t="s">
        <v>60</v>
      </c>
    </row>
    <row r="12" spans="1:6" s="4" customFormat="1" x14ac:dyDescent="0.2"/>
    <row r="14" spans="1:6" x14ac:dyDescent="0.2">
      <c r="A14" s="6" t="s">
        <v>1</v>
      </c>
    </row>
    <row r="15" spans="1:6" x14ac:dyDescent="0.2">
      <c r="B15" t="s">
        <v>2</v>
      </c>
    </row>
    <row r="16" spans="1:6" x14ac:dyDescent="0.2">
      <c r="C16" t="s">
        <v>3</v>
      </c>
      <c r="D16" s="2">
        <v>0.03</v>
      </c>
      <c r="E16" s="2"/>
      <c r="F16" t="s">
        <v>6</v>
      </c>
    </row>
    <row r="17" spans="1:9" x14ac:dyDescent="0.2">
      <c r="C17" t="s">
        <v>4</v>
      </c>
      <c r="D17" s="2">
        <v>0.1</v>
      </c>
      <c r="E17" s="2"/>
      <c r="F17" t="s">
        <v>5</v>
      </c>
    </row>
    <row r="18" spans="1:9" x14ac:dyDescent="0.2">
      <c r="C18" t="s">
        <v>8</v>
      </c>
      <c r="D18" s="2">
        <v>6</v>
      </c>
      <c r="E18" s="2"/>
      <c r="F18" t="s">
        <v>5</v>
      </c>
    </row>
    <row r="19" spans="1:9" x14ac:dyDescent="0.2">
      <c r="B19" t="s">
        <v>7</v>
      </c>
    </row>
    <row r="20" spans="1:9" x14ac:dyDescent="0.2">
      <c r="C20" t="s">
        <v>9</v>
      </c>
    </row>
    <row r="21" spans="1:9" x14ac:dyDescent="0.2">
      <c r="B21" s="8" t="s">
        <v>157</v>
      </c>
    </row>
    <row r="22" spans="1:9" x14ac:dyDescent="0.2">
      <c r="C22">
        <f>D18</f>
        <v>6</v>
      </c>
      <c r="D22" t="s">
        <v>11</v>
      </c>
      <c r="F22">
        <f>D17/2</f>
        <v>0.05</v>
      </c>
      <c r="G22" t="s">
        <v>12</v>
      </c>
      <c r="H22">
        <f>D16</f>
        <v>0.03</v>
      </c>
      <c r="I22" t="s">
        <v>13</v>
      </c>
    </row>
    <row r="23" spans="1:9" x14ac:dyDescent="0.2">
      <c r="B23" t="s">
        <v>10</v>
      </c>
    </row>
    <row r="24" spans="1:9" x14ac:dyDescent="0.2">
      <c r="C24" s="7" t="str">
        <f>C22&amp;D22&amp;E22&amp;F22&amp;G22&amp;H22&amp;I22&amp;J22&amp;K22&amp;L22</f>
        <v>6+0.05*sin(0.03*6.2831853*srunning)</v>
      </c>
    </row>
    <row r="26" spans="1:9" s="4" customFormat="1" x14ac:dyDescent="0.2"/>
    <row r="28" spans="1:9" x14ac:dyDescent="0.2">
      <c r="A28" s="6" t="s">
        <v>14</v>
      </c>
    </row>
    <row r="29" spans="1:9" x14ac:dyDescent="0.2">
      <c r="B29" t="s">
        <v>2</v>
      </c>
    </row>
    <row r="30" spans="1:9" x14ac:dyDescent="0.2">
      <c r="C30" t="s">
        <v>3</v>
      </c>
      <c r="D30" s="2">
        <v>0.6</v>
      </c>
      <c r="E30" s="2"/>
      <c r="F30" t="s">
        <v>6</v>
      </c>
    </row>
    <row r="31" spans="1:9" x14ac:dyDescent="0.2">
      <c r="C31" t="s">
        <v>8</v>
      </c>
      <c r="D31" s="2">
        <v>9</v>
      </c>
      <c r="E31" s="2"/>
      <c r="F31" t="s">
        <v>5</v>
      </c>
    </row>
    <row r="32" spans="1:9" x14ac:dyDescent="0.2">
      <c r="B32" t="s">
        <v>7</v>
      </c>
    </row>
    <row r="33" spans="1:7" x14ac:dyDescent="0.2">
      <c r="C33" t="s">
        <v>15</v>
      </c>
    </row>
    <row r="34" spans="1:7" x14ac:dyDescent="0.2">
      <c r="B34" s="8" t="s">
        <v>157</v>
      </c>
    </row>
    <row r="35" spans="1:7" x14ac:dyDescent="0.2">
      <c r="C35">
        <f>D31</f>
        <v>9</v>
      </c>
      <c r="D35" s="3" t="s">
        <v>16</v>
      </c>
      <c r="E35" s="3"/>
      <c r="F35">
        <f>D30</f>
        <v>0.6</v>
      </c>
      <c r="G35" t="s">
        <v>17</v>
      </c>
    </row>
    <row r="36" spans="1:7" x14ac:dyDescent="0.2">
      <c r="B36" t="s">
        <v>10</v>
      </c>
    </row>
    <row r="37" spans="1:7" x14ac:dyDescent="0.2">
      <c r="C37" s="7" t="str">
        <f>C35&amp;D35&amp;E35&amp;F35&amp;G35&amp;H35&amp;I35&amp;J35&amp;K35&amp;L35</f>
        <v>9+tan(0.6*3.14159265*srunning)</v>
      </c>
    </row>
    <row r="39" spans="1:7" s="4" customFormat="1" x14ac:dyDescent="0.2"/>
    <row r="41" spans="1:7" x14ac:dyDescent="0.2">
      <c r="A41" s="6" t="s">
        <v>162</v>
      </c>
    </row>
    <row r="42" spans="1:7" x14ac:dyDescent="0.2">
      <c r="B42" t="s">
        <v>2</v>
      </c>
    </row>
    <row r="43" spans="1:7" x14ac:dyDescent="0.2">
      <c r="C43" t="s">
        <v>3</v>
      </c>
      <c r="D43" s="2">
        <v>0.125</v>
      </c>
      <c r="E43" s="2"/>
      <c r="F43" t="s">
        <v>6</v>
      </c>
      <c r="G43" t="s">
        <v>169</v>
      </c>
    </row>
    <row r="44" spans="1:7" x14ac:dyDescent="0.2">
      <c r="C44" t="s">
        <v>4</v>
      </c>
      <c r="D44" s="2">
        <v>11</v>
      </c>
      <c r="E44" s="2"/>
      <c r="F44" t="s">
        <v>5</v>
      </c>
    </row>
    <row r="45" spans="1:7" x14ac:dyDescent="0.2">
      <c r="C45" t="s">
        <v>8</v>
      </c>
      <c r="D45" s="2">
        <v>6.5</v>
      </c>
      <c r="E45" s="2"/>
      <c r="F45" t="s">
        <v>5</v>
      </c>
    </row>
    <row r="46" spans="1:7" x14ac:dyDescent="0.2">
      <c r="B46" t="s">
        <v>7</v>
      </c>
    </row>
    <row r="47" spans="1:7" x14ac:dyDescent="0.2">
      <c r="C47" t="s">
        <v>19</v>
      </c>
    </row>
    <row r="48" spans="1:7" x14ac:dyDescent="0.2">
      <c r="B48" s="8" t="s">
        <v>157</v>
      </c>
    </row>
    <row r="49" spans="1:13" x14ac:dyDescent="0.2">
      <c r="C49">
        <f>D45</f>
        <v>6.5</v>
      </c>
      <c r="D49" t="s">
        <v>20</v>
      </c>
      <c r="F49">
        <f>D44/2</f>
        <v>5.5</v>
      </c>
      <c r="G49" t="s">
        <v>11</v>
      </c>
      <c r="H49">
        <f>D44</f>
        <v>11</v>
      </c>
      <c r="I49" t="s">
        <v>21</v>
      </c>
      <c r="J49">
        <f>D43</f>
        <v>0.125</v>
      </c>
      <c r="K49" t="s">
        <v>18</v>
      </c>
    </row>
    <row r="50" spans="1:13" x14ac:dyDescent="0.2">
      <c r="B50" t="s">
        <v>10</v>
      </c>
    </row>
    <row r="51" spans="1:13" x14ac:dyDescent="0.2">
      <c r="C51" s="7" t="str">
        <f>C49&amp;D49&amp;E49&amp;F49&amp;G49&amp;H49&amp;I49&amp;J49&amp;K49&amp;L49&amp;M49&amp;N49&amp;O49&amp;P49&amp;Q49&amp;R49&amp;S49</f>
        <v>6.5-5.5+11*floor((0.125*2*srunning) mod 2)</v>
      </c>
    </row>
    <row r="53" spans="1:13" s="4" customFormat="1" x14ac:dyDescent="0.2"/>
    <row r="55" spans="1:13" x14ac:dyDescent="0.2">
      <c r="A55" s="6" t="s">
        <v>163</v>
      </c>
    </row>
    <row r="56" spans="1:13" x14ac:dyDescent="0.2">
      <c r="B56" t="s">
        <v>2</v>
      </c>
    </row>
    <row r="57" spans="1:13" x14ac:dyDescent="0.2">
      <c r="C57" t="s">
        <v>158</v>
      </c>
      <c r="D57" s="2">
        <v>1</v>
      </c>
      <c r="E57" s="2"/>
      <c r="F57" t="s">
        <v>63</v>
      </c>
      <c r="G57" t="s">
        <v>168</v>
      </c>
    </row>
    <row r="58" spans="1:13" x14ac:dyDescent="0.2">
      <c r="C58" t="s">
        <v>159</v>
      </c>
      <c r="D58" s="2">
        <v>0.8</v>
      </c>
      <c r="E58" s="2"/>
      <c r="F58" t="s">
        <v>63</v>
      </c>
      <c r="G58" t="s">
        <v>168</v>
      </c>
    </row>
    <row r="59" spans="1:13" x14ac:dyDescent="0.2">
      <c r="C59" t="s">
        <v>160</v>
      </c>
      <c r="D59" s="2">
        <v>12</v>
      </c>
      <c r="E59" s="2"/>
      <c r="F59" t="s">
        <v>5</v>
      </c>
    </row>
    <row r="60" spans="1:13" x14ac:dyDescent="0.2">
      <c r="C60" t="s">
        <v>161</v>
      </c>
      <c r="D60" s="2">
        <v>1</v>
      </c>
      <c r="E60" s="2"/>
      <c r="F60" t="s">
        <v>5</v>
      </c>
    </row>
    <row r="61" spans="1:13" x14ac:dyDescent="0.2">
      <c r="B61" t="s">
        <v>7</v>
      </c>
    </row>
    <row r="62" spans="1:13" x14ac:dyDescent="0.2">
      <c r="C62" t="s">
        <v>164</v>
      </c>
    </row>
    <row r="63" spans="1:13" x14ac:dyDescent="0.2">
      <c r="B63" s="8" t="s">
        <v>157</v>
      </c>
    </row>
    <row r="64" spans="1:13" x14ac:dyDescent="0.2">
      <c r="C64" t="s">
        <v>165</v>
      </c>
      <c r="D64">
        <f>D57</f>
        <v>1</v>
      </c>
      <c r="E64" t="s">
        <v>11</v>
      </c>
      <c r="F64">
        <f>D58</f>
        <v>0.8</v>
      </c>
      <c r="G64" t="s">
        <v>170</v>
      </c>
      <c r="H64">
        <f>D57</f>
        <v>1</v>
      </c>
      <c r="I64" t="s">
        <v>166</v>
      </c>
      <c r="J64">
        <f>D60</f>
        <v>1</v>
      </c>
      <c r="K64" t="s">
        <v>28</v>
      </c>
      <c r="L64">
        <f>D59</f>
        <v>12</v>
      </c>
      <c r="M64" t="s">
        <v>31</v>
      </c>
    </row>
    <row r="65" spans="1:18" x14ac:dyDescent="0.2">
      <c r="B65" t="s">
        <v>10</v>
      </c>
    </row>
    <row r="66" spans="1:18" x14ac:dyDescent="0.2">
      <c r="C66" s="7" t="str">
        <f>C64&amp;D64&amp;E64&amp;F64&amp;G64&amp;H64&amp;I64&amp;J64&amp;K64&amp;L64&amp;M64&amp;N64&amp;O64&amp;P64&amp;Q64&amp;R64&amp;S64</f>
        <v>if( floor(( 10 * srunning) mod floor(((1+0.8)*10)+0.5)) &gt;= (floor(((1)*10)+0.5)),1,12)</v>
      </c>
    </row>
    <row r="68" spans="1:18" s="4" customFormat="1" x14ac:dyDescent="0.2"/>
    <row r="70" spans="1:18" x14ac:dyDescent="0.2">
      <c r="A70" s="6" t="s">
        <v>22</v>
      </c>
    </row>
    <row r="71" spans="1:18" x14ac:dyDescent="0.2">
      <c r="B71" t="s">
        <v>2</v>
      </c>
    </row>
    <row r="72" spans="1:18" x14ac:dyDescent="0.2">
      <c r="C72" t="s">
        <v>3</v>
      </c>
      <c r="D72" s="2">
        <v>0.6</v>
      </c>
      <c r="E72" s="2"/>
      <c r="F72" t="s">
        <v>6</v>
      </c>
    </row>
    <row r="73" spans="1:18" x14ac:dyDescent="0.2">
      <c r="C73" t="s">
        <v>4</v>
      </c>
      <c r="D73" s="2">
        <v>1</v>
      </c>
      <c r="E73" s="2"/>
      <c r="F73" t="s">
        <v>5</v>
      </c>
    </row>
    <row r="74" spans="1:18" x14ac:dyDescent="0.2">
      <c r="C74" t="s">
        <v>8</v>
      </c>
      <c r="D74" s="2">
        <v>2.9</v>
      </c>
      <c r="E74" s="2"/>
      <c r="F74" t="s">
        <v>5</v>
      </c>
    </row>
    <row r="75" spans="1:18" x14ac:dyDescent="0.2">
      <c r="B75" t="s">
        <v>7</v>
      </c>
    </row>
    <row r="76" spans="1:18" x14ac:dyDescent="0.2">
      <c r="C76" t="s">
        <v>23</v>
      </c>
    </row>
    <row r="77" spans="1:18" x14ac:dyDescent="0.2">
      <c r="B77" s="8" t="s">
        <v>157</v>
      </c>
    </row>
    <row r="78" spans="1:18" x14ac:dyDescent="0.2">
      <c r="C78" t="s">
        <v>24</v>
      </c>
      <c r="D78">
        <f>D72</f>
        <v>0.6</v>
      </c>
      <c r="F78" t="s">
        <v>25</v>
      </c>
      <c r="G78">
        <f>D74-D73/2</f>
        <v>2.4</v>
      </c>
      <c r="H78" t="s">
        <v>26</v>
      </c>
      <c r="I78">
        <f>D72</f>
        <v>0.6</v>
      </c>
      <c r="J78" t="s">
        <v>27</v>
      </c>
      <c r="K78">
        <f>D73</f>
        <v>1</v>
      </c>
      <c r="L78" t="s">
        <v>28</v>
      </c>
      <c r="M78">
        <f>D73+(D74-D73/2)</f>
        <v>3.4</v>
      </c>
      <c r="N78" t="s">
        <v>29</v>
      </c>
      <c r="O78">
        <f>D72</f>
        <v>0.6</v>
      </c>
      <c r="P78" t="s">
        <v>30</v>
      </c>
      <c r="Q78">
        <f>D73</f>
        <v>1</v>
      </c>
      <c r="R78" t="s">
        <v>31</v>
      </c>
    </row>
    <row r="79" spans="1:18" x14ac:dyDescent="0.2">
      <c r="B79" t="s">
        <v>10</v>
      </c>
    </row>
    <row r="80" spans="1:18" x14ac:dyDescent="0.2">
      <c r="C80" s="7" t="str">
        <f>C78&amp;D78&amp;E78&amp;F78&amp;G78&amp;H78&amp;I78&amp;J78&amp;K78&amp;L78&amp;M78&amp;N78&amp;O78&amp;P78&amp;Q78&amp;R78&amp;S78</f>
        <v>if(floor(srunning*( 0.6 /.01)) mod 100 &gt;= 50,2.4+(floor(srunning*( 0.6 /.01)) mod 100-50)/50*1,3.4-(floor((srunning)*(0.6 /.01)) mod 100)/50*1)</v>
      </c>
    </row>
    <row r="82" spans="1:9" s="4" customFormat="1" x14ac:dyDescent="0.2"/>
    <row r="84" spans="1:9" x14ac:dyDescent="0.2">
      <c r="A84" s="6" t="s">
        <v>34</v>
      </c>
      <c r="C84" t="s">
        <v>35</v>
      </c>
    </row>
    <row r="85" spans="1:9" x14ac:dyDescent="0.2">
      <c r="B85" t="s">
        <v>2</v>
      </c>
    </row>
    <row r="86" spans="1:9" x14ac:dyDescent="0.2">
      <c r="C86" t="s">
        <v>3</v>
      </c>
      <c r="D86" s="2">
        <v>0.5</v>
      </c>
      <c r="E86" s="2"/>
      <c r="F86" t="s">
        <v>6</v>
      </c>
    </row>
    <row r="87" spans="1:9" x14ac:dyDescent="0.2">
      <c r="C87" t="s">
        <v>4</v>
      </c>
      <c r="D87" s="2">
        <v>7</v>
      </c>
      <c r="E87" s="2"/>
      <c r="F87" t="s">
        <v>5</v>
      </c>
    </row>
    <row r="88" spans="1:9" x14ac:dyDescent="0.2">
      <c r="C88" t="s">
        <v>8</v>
      </c>
      <c r="D88" s="2">
        <v>5</v>
      </c>
      <c r="E88" s="2"/>
      <c r="F88" t="s">
        <v>5</v>
      </c>
    </row>
    <row r="89" spans="1:9" x14ac:dyDescent="0.2">
      <c r="B89" t="s">
        <v>7</v>
      </c>
    </row>
    <row r="90" spans="1:9" x14ac:dyDescent="0.2">
      <c r="C90" t="s">
        <v>36</v>
      </c>
    </row>
    <row r="91" spans="1:9" x14ac:dyDescent="0.2">
      <c r="B91" s="8" t="s">
        <v>157</v>
      </c>
    </row>
    <row r="92" spans="1:9" x14ac:dyDescent="0.2">
      <c r="C92">
        <f>D87</f>
        <v>7</v>
      </c>
      <c r="D92" t="s">
        <v>37</v>
      </c>
      <c r="F92">
        <f>D86</f>
        <v>0.5</v>
      </c>
      <c r="G92" t="s">
        <v>38</v>
      </c>
      <c r="H92">
        <f>D88-(D87/2)</f>
        <v>1.5</v>
      </c>
      <c r="I92" t="s">
        <v>31</v>
      </c>
    </row>
    <row r="93" spans="1:9" x14ac:dyDescent="0.2">
      <c r="B93" t="s">
        <v>10</v>
      </c>
    </row>
    <row r="94" spans="1:9" x14ac:dyDescent="0.2">
      <c r="C94" s="7" t="str">
        <f>C92&amp;D92&amp;E92&amp;F92&amp;G92&amp;H92&amp;I92&amp;J92&amp;K92&amp;L92&amp;M92&amp;N92&amp;O92&amp;P92&amp;Q92&amp;R92&amp;S92</f>
        <v>7*0.000523560 * (usrunning * ( 0.5 / 523.56) mod 1911) + (1.5)</v>
      </c>
    </row>
    <row r="96" spans="1:9" s="4" customFormat="1" x14ac:dyDescent="0.2"/>
    <row r="98" spans="1:9" x14ac:dyDescent="0.2">
      <c r="A98" s="6" t="s">
        <v>34</v>
      </c>
      <c r="C98" t="s">
        <v>39</v>
      </c>
    </row>
    <row r="99" spans="1:9" x14ac:dyDescent="0.2">
      <c r="B99" t="s">
        <v>2</v>
      </c>
    </row>
    <row r="100" spans="1:9" x14ac:dyDescent="0.2">
      <c r="C100" t="s">
        <v>3</v>
      </c>
      <c r="D100" s="2">
        <v>0.25</v>
      </c>
      <c r="E100" s="2"/>
      <c r="F100" t="s">
        <v>6</v>
      </c>
    </row>
    <row r="101" spans="1:9" x14ac:dyDescent="0.2">
      <c r="C101" t="s">
        <v>4</v>
      </c>
      <c r="D101" s="2">
        <v>17</v>
      </c>
      <c r="E101" s="2"/>
      <c r="F101" t="s">
        <v>5</v>
      </c>
    </row>
    <row r="102" spans="1:9" x14ac:dyDescent="0.2">
      <c r="C102" t="s">
        <v>8</v>
      </c>
      <c r="D102" s="2">
        <v>10.5</v>
      </c>
      <c r="E102" s="2"/>
      <c r="F102" t="s">
        <v>5</v>
      </c>
    </row>
    <row r="103" spans="1:9" x14ac:dyDescent="0.2">
      <c r="B103" t="s">
        <v>7</v>
      </c>
    </row>
    <row r="104" spans="1:9" x14ac:dyDescent="0.2">
      <c r="C104" t="s">
        <v>51</v>
      </c>
    </row>
    <row r="105" spans="1:9" x14ac:dyDescent="0.2">
      <c r="B105" s="8" t="s">
        <v>157</v>
      </c>
    </row>
    <row r="106" spans="1:9" x14ac:dyDescent="0.2">
      <c r="C106">
        <f>D102+(D101/2)</f>
        <v>19</v>
      </c>
      <c r="D106" t="s">
        <v>20</v>
      </c>
      <c r="F106">
        <f>D101</f>
        <v>17</v>
      </c>
      <c r="G106" t="s">
        <v>37</v>
      </c>
      <c r="H106">
        <f>D100</f>
        <v>0.25</v>
      </c>
      <c r="I106" t="s">
        <v>40</v>
      </c>
    </row>
    <row r="107" spans="1:9" x14ac:dyDescent="0.2">
      <c r="B107" t="s">
        <v>10</v>
      </c>
    </row>
    <row r="108" spans="1:9" x14ac:dyDescent="0.2">
      <c r="C108" s="7" t="str">
        <f>C106&amp;D106&amp;E106&amp;F106&amp;G106&amp;H106&amp;I106&amp;J106&amp;K106&amp;L106&amp;M106&amp;N106&amp;O106&amp;P106&amp;Q106&amp;R106&amp;S106</f>
        <v>19-17*0.000523560 * (usrunning * ( 0.25 / 523.56) mod 1911)</v>
      </c>
    </row>
    <row r="110" spans="1:9" s="4" customFormat="1" x14ac:dyDescent="0.2"/>
    <row r="112" spans="1:9" x14ac:dyDescent="0.2">
      <c r="A112" s="6" t="s">
        <v>44</v>
      </c>
    </row>
    <row r="113" spans="1:9" x14ac:dyDescent="0.2">
      <c r="B113" t="s">
        <v>2</v>
      </c>
    </row>
    <row r="114" spans="1:9" x14ac:dyDescent="0.2">
      <c r="C114" t="s">
        <v>3</v>
      </c>
      <c r="D114" s="2">
        <v>0.2</v>
      </c>
      <c r="E114" s="2"/>
      <c r="F114" t="s">
        <v>6</v>
      </c>
    </row>
    <row r="115" spans="1:9" x14ac:dyDescent="0.2">
      <c r="C115" t="s">
        <v>4</v>
      </c>
      <c r="D115" s="2">
        <v>9</v>
      </c>
      <c r="E115" s="2"/>
      <c r="F115" t="s">
        <v>5</v>
      </c>
    </row>
    <row r="116" spans="1:9" x14ac:dyDescent="0.2">
      <c r="C116" t="s">
        <v>8</v>
      </c>
      <c r="D116" s="2">
        <v>6</v>
      </c>
      <c r="E116" s="2"/>
      <c r="F116" t="s">
        <v>5</v>
      </c>
    </row>
    <row r="117" spans="1:9" x14ac:dyDescent="0.2">
      <c r="B117" t="s">
        <v>7</v>
      </c>
    </row>
    <row r="118" spans="1:9" x14ac:dyDescent="0.2">
      <c r="C118" t="s">
        <v>45</v>
      </c>
    </row>
    <row r="119" spans="1:9" x14ac:dyDescent="0.2">
      <c r="B119" s="8" t="s">
        <v>157</v>
      </c>
    </row>
    <row r="120" spans="1:9" x14ac:dyDescent="0.2">
      <c r="C120">
        <f>D116-(D115/2)</f>
        <v>1.5</v>
      </c>
      <c r="D120" t="s">
        <v>11</v>
      </c>
      <c r="F120">
        <f>D115</f>
        <v>9</v>
      </c>
      <c r="G120" t="s">
        <v>47</v>
      </c>
      <c r="H120">
        <f>D114</f>
        <v>0.2</v>
      </c>
      <c r="I120" t="s">
        <v>46</v>
      </c>
    </row>
    <row r="121" spans="1:9" x14ac:dyDescent="0.2">
      <c r="B121" t="s">
        <v>10</v>
      </c>
    </row>
    <row r="122" spans="1:9" x14ac:dyDescent="0.2">
      <c r="C122" s="7" t="str">
        <f>C120&amp;D120&amp;E120&amp;F120&amp;G120&amp;H120&amp;I120&amp;J120&amp;K120&amp;L120&amp;M120&amp;N120&amp;O120&amp;P120&amp;Q120&amp;R120&amp;S120</f>
        <v>1.5+9*abs(sin(0.2*3.1415926535*srunning))</v>
      </c>
    </row>
    <row r="124" spans="1:9" s="4" customFormat="1" x14ac:dyDescent="0.2"/>
    <row r="126" spans="1:9" x14ac:dyDescent="0.2">
      <c r="A126" s="6" t="s">
        <v>48</v>
      </c>
    </row>
    <row r="127" spans="1:9" x14ac:dyDescent="0.2">
      <c r="B127" t="s">
        <v>2</v>
      </c>
    </row>
    <row r="128" spans="1:9" x14ac:dyDescent="0.2">
      <c r="C128" t="s">
        <v>3</v>
      </c>
      <c r="D128" s="2">
        <v>0.5</v>
      </c>
      <c r="E128" s="2"/>
      <c r="F128" t="s">
        <v>6</v>
      </c>
    </row>
    <row r="129" spans="1:17" x14ac:dyDescent="0.2">
      <c r="C129" t="s">
        <v>4</v>
      </c>
      <c r="D129" s="2">
        <v>6</v>
      </c>
      <c r="E129" s="2"/>
      <c r="F129" t="s">
        <v>5</v>
      </c>
    </row>
    <row r="130" spans="1:17" x14ac:dyDescent="0.2">
      <c r="C130" t="s">
        <v>8</v>
      </c>
      <c r="D130" s="2">
        <v>5</v>
      </c>
      <c r="E130" s="2"/>
      <c r="F130" t="s">
        <v>5</v>
      </c>
    </row>
    <row r="131" spans="1:17" x14ac:dyDescent="0.2">
      <c r="C131" t="s">
        <v>49</v>
      </c>
      <c r="D131" s="2">
        <v>8</v>
      </c>
      <c r="E131" s="2"/>
      <c r="F131" t="s">
        <v>50</v>
      </c>
    </row>
    <row r="132" spans="1:17" x14ac:dyDescent="0.2">
      <c r="B132" t="s">
        <v>7</v>
      </c>
    </row>
    <row r="133" spans="1:17" x14ac:dyDescent="0.2">
      <c r="C133" t="s">
        <v>58</v>
      </c>
    </row>
    <row r="134" spans="1:17" x14ac:dyDescent="0.2">
      <c r="B134" s="8" t="s">
        <v>157</v>
      </c>
    </row>
    <row r="135" spans="1:17" x14ac:dyDescent="0.2">
      <c r="C135" t="s">
        <v>52</v>
      </c>
      <c r="D135">
        <f>D130-(D129/2)</f>
        <v>2</v>
      </c>
      <c r="E135" t="s">
        <v>11</v>
      </c>
      <c r="F135">
        <f>D129</f>
        <v>6</v>
      </c>
      <c r="G135" t="s">
        <v>57</v>
      </c>
      <c r="H135">
        <f>D128</f>
        <v>0.5</v>
      </c>
      <c r="I135" t="s">
        <v>59</v>
      </c>
      <c r="J135">
        <f>D130</f>
        <v>5</v>
      </c>
      <c r="K135" t="s">
        <v>53</v>
      </c>
      <c r="L135">
        <f>D129/2</f>
        <v>3</v>
      </c>
      <c r="M135" t="s">
        <v>54</v>
      </c>
      <c r="N135">
        <f>D131*D128*0.00052356</f>
        <v>2.0942399999999998E-3</v>
      </c>
      <c r="O135" t="s">
        <v>55</v>
      </c>
      <c r="P135">
        <f>D128/ 523.56</f>
        <v>9.5500038200015288E-4</v>
      </c>
      <c r="Q135" t="s">
        <v>56</v>
      </c>
    </row>
    <row r="136" spans="1:17" x14ac:dyDescent="0.2">
      <c r="B136" t="s">
        <v>10</v>
      </c>
      <c r="C136" s="8"/>
    </row>
    <row r="137" spans="1:17" x14ac:dyDescent="0.2">
      <c r="C137" s="7" t="str">
        <f>C135&amp;D135&amp;E135&amp;F135&amp;G135&amp;H135&amp;I135&amp;J135&amp;K135&amp;L135&amp;M135&amp;N135&amp;O135&amp;P135&amp;Q135&amp;R135&amp;S135</f>
        <v>max((2+6*abs(cos(0.5*3.1415926535*(srunning-0.1)))),5+((3)-(0.00209424 * (usrunning * (0.000955000382000153) mod 1911) )))</v>
      </c>
    </row>
    <row r="139" spans="1:17" s="4" customFormat="1" x14ac:dyDescent="0.2"/>
    <row r="141" spans="1:17" x14ac:dyDescent="0.2">
      <c r="A141" s="6" t="s">
        <v>154</v>
      </c>
    </row>
    <row r="142" spans="1:17" x14ac:dyDescent="0.2">
      <c r="B142" t="s">
        <v>2</v>
      </c>
    </row>
    <row r="143" spans="1:17" x14ac:dyDescent="0.2">
      <c r="C143" t="s">
        <v>61</v>
      </c>
      <c r="D143" s="2">
        <v>0.5</v>
      </c>
      <c r="E143" s="2"/>
      <c r="F143" t="s">
        <v>63</v>
      </c>
    </row>
    <row r="144" spans="1:17" x14ac:dyDescent="0.2">
      <c r="C144" t="s">
        <v>62</v>
      </c>
      <c r="D144" s="2">
        <v>0.19400000000000001</v>
      </c>
      <c r="E144" s="2"/>
      <c r="F144" t="s">
        <v>63</v>
      </c>
      <c r="G144" t="s">
        <v>71</v>
      </c>
    </row>
    <row r="145" spans="1:14" x14ac:dyDescent="0.2">
      <c r="C145" t="s">
        <v>65</v>
      </c>
      <c r="D145" s="2">
        <v>12</v>
      </c>
      <c r="E145" s="2"/>
      <c r="F145" t="s">
        <v>5</v>
      </c>
      <c r="G145" t="s">
        <v>83</v>
      </c>
    </row>
    <row r="146" spans="1:14" x14ac:dyDescent="0.2">
      <c r="C146" t="s">
        <v>66</v>
      </c>
      <c r="D146" s="2">
        <v>6</v>
      </c>
      <c r="E146" s="2"/>
      <c r="F146" t="s">
        <v>5</v>
      </c>
      <c r="G146" t="s">
        <v>69</v>
      </c>
    </row>
    <row r="147" spans="1:14" x14ac:dyDescent="0.2">
      <c r="B147" t="s">
        <v>7</v>
      </c>
    </row>
    <row r="148" spans="1:14" x14ac:dyDescent="0.2">
      <c r="C148" t="s">
        <v>70</v>
      </c>
    </row>
    <row r="149" spans="1:14" x14ac:dyDescent="0.2">
      <c r="C149" s="11" t="s">
        <v>67</v>
      </c>
      <c r="D149">
        <f>ABS(D145-D146)*0.001</f>
        <v>6.0000000000000001E-3</v>
      </c>
      <c r="E149" t="s">
        <v>63</v>
      </c>
    </row>
    <row r="150" spans="1:14" x14ac:dyDescent="0.2">
      <c r="B150" s="12" t="s">
        <v>157</v>
      </c>
    </row>
    <row r="151" spans="1:14" x14ac:dyDescent="0.2">
      <c r="C151" t="s">
        <v>64</v>
      </c>
      <c r="D151">
        <f>D143</f>
        <v>0.5</v>
      </c>
      <c r="E151" t="s">
        <v>28</v>
      </c>
      <c r="F151">
        <f>D145</f>
        <v>12</v>
      </c>
      <c r="G151" t="s">
        <v>28</v>
      </c>
      <c r="H151" t="s">
        <v>64</v>
      </c>
      <c r="I151">
        <f>D143+D144+D149</f>
        <v>0.7</v>
      </c>
      <c r="J151" t="s">
        <v>28</v>
      </c>
      <c r="K151">
        <f>D146</f>
        <v>6</v>
      </c>
      <c r="L151" t="s">
        <v>28</v>
      </c>
      <c r="M151">
        <f>D145</f>
        <v>12</v>
      </c>
      <c r="N151" t="s">
        <v>68</v>
      </c>
    </row>
    <row r="152" spans="1:14" x14ac:dyDescent="0.2">
      <c r="B152" t="s">
        <v>10</v>
      </c>
      <c r="C152" s="8"/>
    </row>
    <row r="153" spans="1:14" x14ac:dyDescent="0.2">
      <c r="C153" s="7" t="str">
        <f>C151&amp;D151&amp;E151&amp;F151&amp;G151&amp;H151&amp;I151&amp;J151&amp;K151&amp;L151&amp;M151&amp;N151&amp;O151&amp;P151&amp;Q151&amp;R151&amp;S151</f>
        <v>if(srunning&lt;=0.5,12,if(srunning&lt;=0.7,6,12))</v>
      </c>
    </row>
    <row r="155" spans="1:14" s="4" customFormat="1" x14ac:dyDescent="0.2"/>
    <row r="157" spans="1:14" x14ac:dyDescent="0.2">
      <c r="A157" s="6" t="s">
        <v>153</v>
      </c>
    </row>
    <row r="158" spans="1:14" x14ac:dyDescent="0.2">
      <c r="B158" t="s">
        <v>2</v>
      </c>
    </row>
    <row r="159" spans="1:14" x14ac:dyDescent="0.2">
      <c r="C159" s="11" t="s">
        <v>73</v>
      </c>
      <c r="D159" s="2">
        <v>0.5</v>
      </c>
      <c r="E159" s="2"/>
      <c r="F159" t="s">
        <v>63</v>
      </c>
    </row>
    <row r="160" spans="1:14" x14ac:dyDescent="0.2">
      <c r="C160" s="11" t="s">
        <v>87</v>
      </c>
      <c r="D160" s="2">
        <v>2</v>
      </c>
      <c r="E160" s="2"/>
      <c r="F160" t="s">
        <v>63</v>
      </c>
    </row>
    <row r="161" spans="1:18" x14ac:dyDescent="0.2">
      <c r="C161" s="11" t="s">
        <v>65</v>
      </c>
      <c r="D161" s="2">
        <v>13.8</v>
      </c>
      <c r="E161" s="2"/>
      <c r="F161" t="s">
        <v>5</v>
      </c>
      <c r="G161" t="s">
        <v>83</v>
      </c>
    </row>
    <row r="162" spans="1:18" x14ac:dyDescent="0.2">
      <c r="C162" s="11" t="s">
        <v>86</v>
      </c>
      <c r="D162" s="2">
        <v>1.8</v>
      </c>
      <c r="E162" s="2"/>
      <c r="F162" t="s">
        <v>5</v>
      </c>
    </row>
    <row r="163" spans="1:18" x14ac:dyDescent="0.2">
      <c r="C163" s="11" t="s">
        <v>74</v>
      </c>
      <c r="D163" s="2">
        <v>0.25</v>
      </c>
      <c r="E163" s="2"/>
      <c r="F163" t="s">
        <v>5</v>
      </c>
    </row>
    <row r="164" spans="1:18" x14ac:dyDescent="0.2">
      <c r="A164" s="8"/>
      <c r="B164" t="s">
        <v>7</v>
      </c>
    </row>
    <row r="165" spans="1:18" x14ac:dyDescent="0.2">
      <c r="C165" t="s">
        <v>72</v>
      </c>
    </row>
    <row r="166" spans="1:18" x14ac:dyDescent="0.2">
      <c r="B166" s="12" t="s">
        <v>157</v>
      </c>
    </row>
    <row r="167" spans="1:18" x14ac:dyDescent="0.2">
      <c r="C167" t="s">
        <v>84</v>
      </c>
      <c r="D167" t="s">
        <v>78</v>
      </c>
      <c r="E167">
        <f>100/D160</f>
        <v>50</v>
      </c>
      <c r="F167" t="s">
        <v>77</v>
      </c>
      <c r="G167">
        <f>(D160-D159)/D160*100</f>
        <v>75</v>
      </c>
      <c r="H167" t="s">
        <v>28</v>
      </c>
      <c r="I167">
        <f>D161</f>
        <v>13.8</v>
      </c>
      <c r="J167" t="s">
        <v>20</v>
      </c>
      <c r="K167">
        <f>D163</f>
        <v>0.25</v>
      </c>
      <c r="L167" t="s">
        <v>75</v>
      </c>
      <c r="M167">
        <f>100/D160</f>
        <v>50</v>
      </c>
      <c r="N167" t="s">
        <v>76</v>
      </c>
      <c r="O167">
        <f>D161</f>
        <v>13.8</v>
      </c>
      <c r="P167" t="s">
        <v>85</v>
      </c>
      <c r="Q167">
        <f>D162</f>
        <v>1.8</v>
      </c>
      <c r="R167" t="s">
        <v>31</v>
      </c>
    </row>
    <row r="168" spans="1:18" x14ac:dyDescent="0.2">
      <c r="B168" t="s">
        <v>10</v>
      </c>
      <c r="C168" s="8"/>
    </row>
    <row r="169" spans="1:18" x14ac:dyDescent="0.2">
      <c r="C169" s="7" t="str">
        <f>C167&amp;D167&amp;E167&amp;F167&amp;G167&amp;H167&amp;I167&amp;J167&amp;K167&amp;L167&amp;M167&amp;N167&amp;O167&amp;P167&amp;Q167&amp;R167</f>
        <v>max(if(floor(srunning*50) mod 100 &gt; 75,13.8-0.25*floor((srunning)*50/100),13.8),1.8)</v>
      </c>
    </row>
    <row r="171" spans="1:18" s="4" customFormat="1" x14ac:dyDescent="0.2"/>
    <row r="173" spans="1:18" x14ac:dyDescent="0.2">
      <c r="A173" s="6" t="s">
        <v>152</v>
      </c>
    </row>
    <row r="174" spans="1:18" x14ac:dyDescent="0.2">
      <c r="B174" t="s">
        <v>2</v>
      </c>
    </row>
    <row r="175" spans="1:18" x14ac:dyDescent="0.2">
      <c r="C175" t="s">
        <v>65</v>
      </c>
      <c r="D175" s="2">
        <v>12</v>
      </c>
      <c r="E175" s="2"/>
      <c r="F175" t="s">
        <v>5</v>
      </c>
      <c r="G175" t="s">
        <v>83</v>
      </c>
    </row>
    <row r="176" spans="1:18" x14ac:dyDescent="0.2">
      <c r="C176" t="s">
        <v>79</v>
      </c>
      <c r="D176" s="2">
        <v>2.2000000000000002</v>
      </c>
      <c r="E176" s="2"/>
      <c r="F176" t="s">
        <v>5</v>
      </c>
      <c r="G176" t="s">
        <v>83</v>
      </c>
    </row>
    <row r="177" spans="1:13" x14ac:dyDescent="0.2">
      <c r="C177" t="s">
        <v>62</v>
      </c>
      <c r="D177" s="2">
        <v>20</v>
      </c>
      <c r="E177" s="2"/>
      <c r="F177" t="s">
        <v>63</v>
      </c>
    </row>
    <row r="178" spans="1:13" x14ac:dyDescent="0.2">
      <c r="B178" t="s">
        <v>7</v>
      </c>
    </row>
    <row r="179" spans="1:13" x14ac:dyDescent="0.2">
      <c r="C179" t="s">
        <v>80</v>
      </c>
    </row>
    <row r="180" spans="1:13" x14ac:dyDescent="0.2">
      <c r="B180" s="12" t="s">
        <v>157</v>
      </c>
    </row>
    <row r="181" spans="1:13" x14ac:dyDescent="0.2">
      <c r="C181" t="s">
        <v>84</v>
      </c>
      <c r="D181">
        <f>D175</f>
        <v>12</v>
      </c>
      <c r="E181" s="3" t="s">
        <v>81</v>
      </c>
      <c r="F181">
        <f>D175</f>
        <v>12</v>
      </c>
      <c r="G181" t="s">
        <v>20</v>
      </c>
      <c r="H181">
        <f>D176</f>
        <v>2.2000000000000002</v>
      </c>
      <c r="I181" t="s">
        <v>82</v>
      </c>
      <c r="J181">
        <f>D177</f>
        <v>20</v>
      </c>
      <c r="K181" t="s">
        <v>85</v>
      </c>
      <c r="L181">
        <f>D176</f>
        <v>2.2000000000000002</v>
      </c>
      <c r="M181" t="s">
        <v>31</v>
      </c>
    </row>
    <row r="182" spans="1:13" x14ac:dyDescent="0.2">
      <c r="B182" t="s">
        <v>10</v>
      </c>
      <c r="C182" s="8"/>
    </row>
    <row r="183" spans="1:13" x14ac:dyDescent="0.2">
      <c r="C183" s="7" t="str">
        <f>C181&amp;D181&amp;E181&amp;F181&amp;G181&amp;H181&amp;I181&amp;J181&amp;K181&amp;L181&amp;M181&amp;N181&amp;O181&amp;P181</f>
        <v>max(12- srunning * ((12-2.2)/20),2.2)</v>
      </c>
    </row>
    <row r="185" spans="1:13" s="4" customFormat="1" x14ac:dyDescent="0.2"/>
    <row r="187" spans="1:13" x14ac:dyDescent="0.2">
      <c r="A187" s="6" t="s">
        <v>155</v>
      </c>
    </row>
    <row r="188" spans="1:13" x14ac:dyDescent="0.2">
      <c r="B188" t="s">
        <v>2</v>
      </c>
    </row>
    <row r="189" spans="1:13" x14ac:dyDescent="0.2">
      <c r="C189" t="s">
        <v>88</v>
      </c>
      <c r="D189" s="2">
        <v>12</v>
      </c>
      <c r="E189" s="2"/>
      <c r="F189" t="s">
        <v>5</v>
      </c>
      <c r="G189" t="s">
        <v>83</v>
      </c>
    </row>
    <row r="190" spans="1:13" x14ac:dyDescent="0.2">
      <c r="C190" t="s">
        <v>101</v>
      </c>
      <c r="D190" s="2">
        <v>4.5</v>
      </c>
      <c r="E190" s="2"/>
      <c r="F190" t="s">
        <v>5</v>
      </c>
      <c r="G190" s="12" t="s">
        <v>83</v>
      </c>
    </row>
    <row r="191" spans="1:13" x14ac:dyDescent="0.2">
      <c r="C191" t="s">
        <v>96</v>
      </c>
      <c r="D191" s="2">
        <v>6</v>
      </c>
      <c r="E191" s="2"/>
      <c r="F191" t="s">
        <v>5</v>
      </c>
      <c r="G191" s="12" t="s">
        <v>83</v>
      </c>
    </row>
    <row r="192" spans="1:13" x14ac:dyDescent="0.2">
      <c r="C192" t="s">
        <v>97</v>
      </c>
      <c r="D192" s="2">
        <v>6.5</v>
      </c>
      <c r="E192" s="2"/>
      <c r="F192" t="s">
        <v>5</v>
      </c>
      <c r="G192" s="12" t="s">
        <v>83</v>
      </c>
    </row>
    <row r="193" spans="1:101" x14ac:dyDescent="0.2">
      <c r="C193" t="s">
        <v>98</v>
      </c>
      <c r="D193" s="2">
        <v>2</v>
      </c>
      <c r="E193" s="2"/>
      <c r="F193" t="s">
        <v>5</v>
      </c>
    </row>
    <row r="194" spans="1:101" x14ac:dyDescent="0.2">
      <c r="A194" s="6"/>
      <c r="C194" t="s">
        <v>99</v>
      </c>
      <c r="D194" s="2">
        <v>5</v>
      </c>
      <c r="E194" s="2"/>
      <c r="F194" t="s">
        <v>63</v>
      </c>
    </row>
    <row r="195" spans="1:101" x14ac:dyDescent="0.2">
      <c r="C195" t="s">
        <v>92</v>
      </c>
      <c r="D195" s="2">
        <v>0.3</v>
      </c>
      <c r="E195" s="2"/>
      <c r="F195" t="s">
        <v>63</v>
      </c>
    </row>
    <row r="196" spans="1:101" x14ac:dyDescent="0.2">
      <c r="C196" t="s">
        <v>100</v>
      </c>
      <c r="D196" s="2">
        <v>0.3</v>
      </c>
      <c r="E196" s="2"/>
      <c r="F196" t="s">
        <v>63</v>
      </c>
    </row>
    <row r="197" spans="1:101" x14ac:dyDescent="0.2">
      <c r="C197" t="s">
        <v>102</v>
      </c>
      <c r="D197" s="2">
        <v>0.3</v>
      </c>
      <c r="E197" s="2"/>
      <c r="F197" t="s">
        <v>63</v>
      </c>
    </row>
    <row r="198" spans="1:101" x14ac:dyDescent="0.2">
      <c r="C198" t="s">
        <v>103</v>
      </c>
      <c r="D198" s="2">
        <v>0.4</v>
      </c>
      <c r="E198" s="2"/>
      <c r="F198" t="s">
        <v>63</v>
      </c>
    </row>
    <row r="199" spans="1:101" x14ac:dyDescent="0.2">
      <c r="C199" t="s">
        <v>104</v>
      </c>
      <c r="D199" s="2">
        <v>0.4</v>
      </c>
      <c r="E199" s="2"/>
      <c r="F199" t="s">
        <v>63</v>
      </c>
    </row>
    <row r="200" spans="1:101" x14ac:dyDescent="0.2">
      <c r="C200" t="s">
        <v>105</v>
      </c>
      <c r="D200" s="2">
        <v>10</v>
      </c>
      <c r="E200" s="2"/>
      <c r="F200" t="s">
        <v>63</v>
      </c>
    </row>
    <row r="201" spans="1:101" x14ac:dyDescent="0.2">
      <c r="C201" t="s">
        <v>106</v>
      </c>
      <c r="D201" s="2">
        <v>0.5</v>
      </c>
      <c r="E201" s="2"/>
      <c r="F201" t="s">
        <v>63</v>
      </c>
    </row>
    <row r="202" spans="1:101" x14ac:dyDescent="0.2">
      <c r="C202" t="s">
        <v>107</v>
      </c>
      <c r="D202" s="2">
        <v>1.3333330000000001</v>
      </c>
      <c r="E202" s="2"/>
      <c r="F202" t="s">
        <v>89</v>
      </c>
      <c r="G202" t="s">
        <v>90</v>
      </c>
    </row>
    <row r="203" spans="1:101" x14ac:dyDescent="0.2">
      <c r="B203" t="s">
        <v>7</v>
      </c>
    </row>
    <row r="204" spans="1:101" x14ac:dyDescent="0.2">
      <c r="C204" s="13" t="s">
        <v>123</v>
      </c>
    </row>
    <row r="205" spans="1:101" x14ac:dyDescent="0.2">
      <c r="B205" s="12" t="s">
        <v>157</v>
      </c>
    </row>
    <row r="206" spans="1:101" x14ac:dyDescent="0.2">
      <c r="C206" t="s">
        <v>91</v>
      </c>
      <c r="D206">
        <f>D194</f>
        <v>5</v>
      </c>
      <c r="E206" s="3" t="s">
        <v>28</v>
      </c>
      <c r="F206">
        <f>D189</f>
        <v>12</v>
      </c>
      <c r="G206" t="s">
        <v>93</v>
      </c>
      <c r="H206">
        <f>D194</f>
        <v>5</v>
      </c>
      <c r="I206" t="s">
        <v>11</v>
      </c>
      <c r="J206">
        <f>D195</f>
        <v>0.3</v>
      </c>
      <c r="K206" t="s">
        <v>94</v>
      </c>
      <c r="L206">
        <f>D190</f>
        <v>4.5</v>
      </c>
      <c r="M206" t="s">
        <v>20</v>
      </c>
      <c r="N206">
        <f>D189</f>
        <v>12</v>
      </c>
      <c r="O206" t="s">
        <v>82</v>
      </c>
      <c r="P206">
        <f>D195</f>
        <v>0.3</v>
      </c>
      <c r="Q206" t="s">
        <v>95</v>
      </c>
      <c r="R206">
        <f>D190</f>
        <v>4.5</v>
      </c>
      <c r="S206" s="3" t="s">
        <v>108</v>
      </c>
      <c r="T206">
        <f>D190</f>
        <v>4.5</v>
      </c>
      <c r="U206" s="3" t="s">
        <v>20</v>
      </c>
      <c r="V206">
        <f>D189</f>
        <v>12</v>
      </c>
      <c r="W206" s="3" t="s">
        <v>82</v>
      </c>
      <c r="X206">
        <f>D195</f>
        <v>0.3</v>
      </c>
      <c r="Y206" t="s">
        <v>109</v>
      </c>
      <c r="Z206">
        <f>D194</f>
        <v>5</v>
      </c>
      <c r="AA206" t="s">
        <v>11</v>
      </c>
      <c r="AB206">
        <f>D195</f>
        <v>0.3</v>
      </c>
      <c r="AC206" t="s">
        <v>110</v>
      </c>
      <c r="AD206">
        <f>D190</f>
        <v>4.5</v>
      </c>
      <c r="AE206" t="s">
        <v>111</v>
      </c>
      <c r="AF206">
        <f>D194</f>
        <v>5</v>
      </c>
      <c r="AG206" t="s">
        <v>11</v>
      </c>
      <c r="AH206">
        <f>D195</f>
        <v>0.3</v>
      </c>
      <c r="AI206" t="s">
        <v>11</v>
      </c>
      <c r="AJ206">
        <f>D196</f>
        <v>0.3</v>
      </c>
      <c r="AK206" t="s">
        <v>112</v>
      </c>
      <c r="AL206">
        <f>D191</f>
        <v>6</v>
      </c>
      <c r="AM206" t="s">
        <v>20</v>
      </c>
      <c r="AN206">
        <f>D190</f>
        <v>4.5</v>
      </c>
      <c r="AO206" t="s">
        <v>82</v>
      </c>
      <c r="AP206">
        <f>D197</f>
        <v>0.3</v>
      </c>
      <c r="AQ206" t="s">
        <v>95</v>
      </c>
      <c r="AR206">
        <f>D191</f>
        <v>6</v>
      </c>
      <c r="AS206" s="3" t="s">
        <v>113</v>
      </c>
      <c r="AT206">
        <f>D191</f>
        <v>6</v>
      </c>
      <c r="AU206" s="3" t="s">
        <v>20</v>
      </c>
      <c r="AV206">
        <f>D190</f>
        <v>4.5</v>
      </c>
      <c r="AW206" t="s">
        <v>82</v>
      </c>
      <c r="AX206">
        <f>D197</f>
        <v>0.3</v>
      </c>
      <c r="AY206" t="s">
        <v>114</v>
      </c>
      <c r="AZ206">
        <f>D194</f>
        <v>5</v>
      </c>
      <c r="BA206" t="s">
        <v>11</v>
      </c>
      <c r="BB206">
        <f>D195</f>
        <v>0.3</v>
      </c>
      <c r="BC206" t="s">
        <v>11</v>
      </c>
      <c r="BD206">
        <f>D196</f>
        <v>0.3</v>
      </c>
      <c r="BE206" t="s">
        <v>11</v>
      </c>
      <c r="BF206">
        <f>D197</f>
        <v>0.3</v>
      </c>
      <c r="BG206" t="s">
        <v>121</v>
      </c>
      <c r="BH206">
        <f>D194</f>
        <v>5</v>
      </c>
      <c r="BI206" t="s">
        <v>11</v>
      </c>
      <c r="BJ206">
        <f>D195</f>
        <v>0.3</v>
      </c>
      <c r="BK206" t="s">
        <v>11</v>
      </c>
      <c r="BL206">
        <f>D196</f>
        <v>0.3</v>
      </c>
      <c r="BM206" t="s">
        <v>11</v>
      </c>
      <c r="BN206">
        <f>D197</f>
        <v>0.3</v>
      </c>
      <c r="BO206" t="s">
        <v>11</v>
      </c>
      <c r="BP206">
        <f>D198</f>
        <v>0.4</v>
      </c>
      <c r="BQ206" t="s">
        <v>28</v>
      </c>
      <c r="BR206">
        <f>D191</f>
        <v>6</v>
      </c>
      <c r="BS206" t="s">
        <v>93</v>
      </c>
      <c r="BT206">
        <f>D194</f>
        <v>5</v>
      </c>
      <c r="BU206" t="s">
        <v>11</v>
      </c>
      <c r="BV206">
        <f>D195</f>
        <v>0.3</v>
      </c>
      <c r="BW206" t="s">
        <v>11</v>
      </c>
      <c r="BX206">
        <f>D196</f>
        <v>0.3</v>
      </c>
      <c r="BY206" t="s">
        <v>11</v>
      </c>
      <c r="BZ206">
        <f>D197</f>
        <v>0.3</v>
      </c>
      <c r="CA206" t="s">
        <v>11</v>
      </c>
      <c r="CB206">
        <f>D198</f>
        <v>0.4</v>
      </c>
      <c r="CC206" t="s">
        <v>11</v>
      </c>
      <c r="CD206">
        <f>D199</f>
        <v>0.4</v>
      </c>
      <c r="CE206" t="s">
        <v>115</v>
      </c>
      <c r="CF206">
        <f>((D192-D191)/D199)</f>
        <v>1.25</v>
      </c>
      <c r="CG206" s="3" t="s">
        <v>119</v>
      </c>
      <c r="CH206">
        <f>(D192-((D192-D191)/D199)*(D194+D195+D196+D197+D198+D199))</f>
        <v>-1.875</v>
      </c>
      <c r="CI206" t="s">
        <v>121</v>
      </c>
      <c r="CJ206">
        <f>D194+D195+D196+D197+D198+D199+D200</f>
        <v>16.7</v>
      </c>
      <c r="CK206" t="s">
        <v>116</v>
      </c>
      <c r="CL206">
        <f>(D192+(D193/2))</f>
        <v>7.5</v>
      </c>
      <c r="CM206" s="3" t="s">
        <v>117</v>
      </c>
      <c r="CN206">
        <f>D202*6.2831853</f>
        <v>8.3775783056049011</v>
      </c>
      <c r="CO206" s="3" t="s">
        <v>120</v>
      </c>
      <c r="CP206">
        <f>D194+D195+D196+D197+D198+D199+D200+D201</f>
        <v>17.2</v>
      </c>
      <c r="CQ206" t="s">
        <v>118</v>
      </c>
      <c r="CR206">
        <f>((D189-(D192+D193))/D201)</f>
        <v>7</v>
      </c>
      <c r="CS206" s="3" t="s">
        <v>119</v>
      </c>
      <c r="CT206">
        <f>D189-((D189-(D192+D193))/D201)*(D194+D195+D196+D197+D198+D199+D200+D201)</f>
        <v>-108.39999999999999</v>
      </c>
      <c r="CU206" t="s">
        <v>85</v>
      </c>
      <c r="CV206">
        <f>D189</f>
        <v>12</v>
      </c>
      <c r="CW206" t="s">
        <v>122</v>
      </c>
    </row>
    <row r="207" spans="1:101" x14ac:dyDescent="0.2">
      <c r="B207" t="s">
        <v>10</v>
      </c>
      <c r="C207" s="8"/>
    </row>
    <row r="208" spans="1:101" x14ac:dyDescent="0.2">
      <c r="C208" s="7" t="str">
        <f>C206&amp;D206&amp;E206&amp;F206&amp;G206&amp;H206&amp;I206&amp;J206&amp;K206&amp;L206&amp;M206&amp;N206&amp;O206&amp;P206&amp;Q206&amp;R206&amp;S206&amp;T206&amp;U206&amp;V206&amp;W206&amp;X206&amp;Y206&amp;Z206&amp;AA206&amp;AB206&amp;AC206&amp;AD206&amp;AE206&amp;AF206&amp;AG206&amp;AH206&amp;AI206&amp;AJ206&amp;AK206&amp;AL206&amp;AM206&amp;AN206&amp;AO206&amp;AP206&amp;AQ206&amp;AR206&amp;AS206&amp;AT206&amp;AU206&amp;AV206&amp;AW206&amp;AX206&amp;AY206&amp;AZ206&amp;BA206&amp;BB206&amp;BC206&amp;BD206&amp;BE206&amp;BF206&amp;BG206&amp;BH206&amp;BI206&amp;BJ206&amp;BK206&amp;BL206&amp;BM206&amp;BN206&amp;BO206&amp;BP206&amp;BQ206&amp;BR206&amp;BS206&amp;BT206&amp;BU206&amp;BV206&amp;BW206&amp;BX206&amp;BY206&amp;BZ206&amp;CA206&amp;CB206&amp;CC206&amp;CD206&amp;CE206&amp;CF206&amp;CG206&amp;CH206&amp;CI206&amp;CJ206&amp;CK206&amp;CL206&amp;CM206&amp;CN206&amp;CO206&amp;CP206&amp;CQ206&amp;CR206&amp;CS206&amp;CT206&amp;CU206&amp;CV206&amp;CW206&amp;CX206&amp;CY206&amp;CZ206&amp;DA206</f>
        <v>if(srunning&lt;5,12,if(srunning&lt;5+0.3,max((srunning*((4.5-12)/0.3)+(4.5-((4.5-12)/0.3)*5+0.3)),4.5),if(srunning&lt;5+0.3+0.3,srunning*((6-4.5)/0.3)+(6-((6-4.5)/0.3)*(5+0.3+0.3+0.3)),if(srunning&lt;5+0.3+0.3+0.3+0.4,6,if(srunning&lt;5+0.3+0.3+0.3+0.4+0.4,(srunning*1.25+(-1.875)),if(srunning&lt;16.7,(7.5-cos(8.3775783056049*srunning)),if(srunning&lt;17.2,srunning*7+(-108.4),12)))))))</v>
      </c>
    </row>
    <row r="210" spans="1:97" s="4" customFormat="1" x14ac:dyDescent="0.2"/>
    <row r="212" spans="1:97" x14ac:dyDescent="0.2">
      <c r="A212" s="6" t="s">
        <v>124</v>
      </c>
    </row>
    <row r="213" spans="1:97" x14ac:dyDescent="0.2">
      <c r="B213" t="s">
        <v>2</v>
      </c>
    </row>
    <row r="214" spans="1:97" x14ac:dyDescent="0.2">
      <c r="C214" t="s">
        <v>125</v>
      </c>
      <c r="D214" s="2">
        <v>6</v>
      </c>
      <c r="E214" s="2"/>
      <c r="F214" t="s">
        <v>5</v>
      </c>
      <c r="G214" t="s">
        <v>171</v>
      </c>
    </row>
    <row r="215" spans="1:97" x14ac:dyDescent="0.2">
      <c r="C215" t="s">
        <v>126</v>
      </c>
      <c r="D215" s="2">
        <v>2.5</v>
      </c>
      <c r="E215" s="2"/>
      <c r="F215" t="s">
        <v>5</v>
      </c>
      <c r="G215" s="12"/>
    </row>
    <row r="216" spans="1:97" x14ac:dyDescent="0.2">
      <c r="C216" t="s">
        <v>127</v>
      </c>
      <c r="D216" s="2">
        <v>0.5</v>
      </c>
      <c r="E216" s="2"/>
      <c r="F216" t="s">
        <v>5</v>
      </c>
      <c r="G216" s="12"/>
    </row>
    <row r="217" spans="1:97" x14ac:dyDescent="0.2">
      <c r="C217" t="s">
        <v>130</v>
      </c>
      <c r="D217" s="2">
        <v>1.5</v>
      </c>
      <c r="E217" s="2"/>
      <c r="F217" t="s">
        <v>63</v>
      </c>
      <c r="G217" s="12"/>
    </row>
    <row r="218" spans="1:97" x14ac:dyDescent="0.2">
      <c r="C218" t="s">
        <v>128</v>
      </c>
      <c r="D218" s="2">
        <v>1</v>
      </c>
      <c r="E218" s="2"/>
      <c r="F218" t="s">
        <v>63</v>
      </c>
    </row>
    <row r="219" spans="1:97" x14ac:dyDescent="0.2">
      <c r="A219" s="6"/>
      <c r="C219" t="s">
        <v>129</v>
      </c>
      <c r="D219" s="2">
        <v>7</v>
      </c>
      <c r="E219" s="2"/>
      <c r="F219" t="s">
        <v>63</v>
      </c>
    </row>
    <row r="220" spans="1:97" x14ac:dyDescent="0.2">
      <c r="B220" t="s">
        <v>7</v>
      </c>
    </row>
    <row r="221" spans="1:97" x14ac:dyDescent="0.2">
      <c r="C221" s="13" t="s">
        <v>136</v>
      </c>
    </row>
    <row r="222" spans="1:97" x14ac:dyDescent="0.2">
      <c r="B222" s="12" t="s">
        <v>157</v>
      </c>
    </row>
    <row r="223" spans="1:97" x14ac:dyDescent="0.2">
      <c r="C223" t="s">
        <v>91</v>
      </c>
      <c r="D223">
        <f>D217</f>
        <v>1.5</v>
      </c>
      <c r="E223" s="3" t="s">
        <v>28</v>
      </c>
      <c r="F223">
        <f>D214</f>
        <v>6</v>
      </c>
      <c r="G223" t="s">
        <v>93</v>
      </c>
      <c r="H223">
        <f>D217+D218</f>
        <v>2.5</v>
      </c>
      <c r="I223" t="s">
        <v>131</v>
      </c>
      <c r="J223">
        <f>D214-D216</f>
        <v>5.5</v>
      </c>
      <c r="K223" t="s">
        <v>132</v>
      </c>
      <c r="L223">
        <f>D214-D215</f>
        <v>3.5</v>
      </c>
      <c r="M223" t="s">
        <v>133</v>
      </c>
      <c r="N223" s="14">
        <f>((D214-D216)-(D214-D215))/D218</f>
        <v>2</v>
      </c>
      <c r="O223" s="3" t="s">
        <v>119</v>
      </c>
      <c r="P223" s="14">
        <f>((D214-D215)-((D215-D216)/D218)*D217)</f>
        <v>0.5</v>
      </c>
      <c r="Q223" t="s">
        <v>135</v>
      </c>
      <c r="R223">
        <f>D217+D219</f>
        <v>8.5</v>
      </c>
      <c r="S223" s="3" t="s">
        <v>28</v>
      </c>
      <c r="T223">
        <f>D214-D216</f>
        <v>5.5</v>
      </c>
      <c r="U223" s="3" t="s">
        <v>28</v>
      </c>
      <c r="V223">
        <f>D214</f>
        <v>6</v>
      </c>
      <c r="W223" s="3" t="s">
        <v>134</v>
      </c>
      <c r="AS223" s="3"/>
      <c r="AU223" s="3"/>
      <c r="CG223" s="3"/>
      <c r="CM223" s="3"/>
      <c r="CO223" s="3"/>
      <c r="CS223" s="3"/>
    </row>
    <row r="224" spans="1:97" x14ac:dyDescent="0.2">
      <c r="B224" t="s">
        <v>10</v>
      </c>
      <c r="C224" s="8"/>
    </row>
    <row r="225" spans="1:97" x14ac:dyDescent="0.2">
      <c r="C225" s="7" t="str">
        <f>C223&amp;D223&amp;E223&amp;F223&amp;G223&amp;H223&amp;I223&amp;J223&amp;K223&amp;L223&amp;M223&amp;N223&amp;O223&amp;P223&amp;Q223&amp;R223&amp;S223&amp;T223&amp;U223&amp;V223&amp;W223&amp;X223&amp;Y223&amp;Z223&amp;AA223&amp;AB223&amp;AC223&amp;AD223&amp;AE223&amp;AF223&amp;AG223&amp;AH223&amp;AI223&amp;AJ223&amp;AK223&amp;AL223&amp;AM223&amp;AN223&amp;AO223&amp;AP223&amp;AQ223&amp;AR223&amp;AS223&amp;AT223&amp;AU223&amp;AV223&amp;AW223&amp;AX223&amp;AY223&amp;AZ223&amp;BA223&amp;BB223&amp;BC223&amp;BD223&amp;BE223&amp;BF223&amp;BG223&amp;BH223&amp;BI223&amp;BJ223&amp;BK223&amp;BL223&amp;BM223&amp;BN223&amp;BO223&amp;BP223&amp;BQ223&amp;BR223&amp;BS223&amp;BT223&amp;BU223&amp;BV223&amp;BW223&amp;BX223&amp;BY223&amp;BZ223&amp;CA223&amp;CB223&amp;CC223&amp;CD223&amp;CE223&amp;CF223&amp;CG223&amp;CH223&amp;CI223&amp;CJ223&amp;CK223&amp;CL223&amp;CM223&amp;CN223&amp;CO223&amp;CP223&amp;CQ223&amp;CR223&amp;CS223&amp;CT223&amp;CU223&amp;CV223&amp;CW223&amp;CX223&amp;CY223&amp;CZ223&amp;DA223</f>
        <v>if(srunning&lt;1.5,6,if(srunning&lt;2.5,min(5.5,max((3.5),(srunning*2+(0.5)))),if(srunning&lt;8.5,5.5,6)))</v>
      </c>
    </row>
    <row r="227" spans="1:97" s="4" customFormat="1" x14ac:dyDescent="0.2"/>
    <row r="229" spans="1:97" x14ac:dyDescent="0.2">
      <c r="A229" s="6" t="s">
        <v>137</v>
      </c>
    </row>
    <row r="230" spans="1:97" x14ac:dyDescent="0.2">
      <c r="B230" t="s">
        <v>2</v>
      </c>
    </row>
    <row r="231" spans="1:97" x14ac:dyDescent="0.2">
      <c r="C231" t="s">
        <v>138</v>
      </c>
      <c r="D231" s="2">
        <v>1E-3</v>
      </c>
      <c r="E231" s="2"/>
      <c r="F231" t="s">
        <v>63</v>
      </c>
    </row>
    <row r="232" spans="1:97" x14ac:dyDescent="0.2">
      <c r="C232" t="s">
        <v>139</v>
      </c>
      <c r="D232" s="2">
        <v>2E-3</v>
      </c>
      <c r="E232" s="2"/>
      <c r="F232" t="s">
        <v>63</v>
      </c>
      <c r="G232" s="12"/>
    </row>
    <row r="233" spans="1:97" x14ac:dyDescent="0.2">
      <c r="C233" t="s">
        <v>140</v>
      </c>
      <c r="D233" s="2">
        <v>1</v>
      </c>
      <c r="E233" s="2"/>
      <c r="F233" t="s">
        <v>5</v>
      </c>
      <c r="G233" t="s">
        <v>83</v>
      </c>
    </row>
    <row r="234" spans="1:97" x14ac:dyDescent="0.2">
      <c r="C234" t="s">
        <v>141</v>
      </c>
      <c r="D234" s="2">
        <v>10</v>
      </c>
      <c r="E234" s="2"/>
      <c r="F234" t="s">
        <v>5</v>
      </c>
      <c r="G234" t="s">
        <v>83</v>
      </c>
    </row>
    <row r="235" spans="1:97" x14ac:dyDescent="0.2">
      <c r="B235" t="s">
        <v>7</v>
      </c>
    </row>
    <row r="236" spans="1:97" x14ac:dyDescent="0.2">
      <c r="C236" s="13" t="s">
        <v>142</v>
      </c>
    </row>
    <row r="237" spans="1:97" x14ac:dyDescent="0.2">
      <c r="B237" s="12" t="s">
        <v>157</v>
      </c>
    </row>
    <row r="238" spans="1:97" x14ac:dyDescent="0.2">
      <c r="C238" t="s">
        <v>143</v>
      </c>
      <c r="D238">
        <f>(D234-D233)/(D232-D231)</f>
        <v>9000</v>
      </c>
      <c r="E238" s="3" t="s">
        <v>95</v>
      </c>
      <c r="F238">
        <f>(D234-(((D234-D233)/(D232-D231))*D232))</f>
        <v>-8</v>
      </c>
      <c r="G238" t="s">
        <v>31</v>
      </c>
      <c r="N238" s="14"/>
      <c r="O238" s="3"/>
      <c r="P238" s="14"/>
      <c r="S238" s="3"/>
      <c r="U238" s="3"/>
      <c r="W238" s="3"/>
      <c r="AS238" s="3"/>
      <c r="AU238" s="3"/>
      <c r="CG238" s="3"/>
      <c r="CM238" s="3"/>
      <c r="CO238" s="3"/>
      <c r="CS238" s="3"/>
    </row>
    <row r="239" spans="1:97" x14ac:dyDescent="0.2">
      <c r="B239" t="s">
        <v>10</v>
      </c>
      <c r="C239" s="8"/>
    </row>
    <row r="240" spans="1:97" x14ac:dyDescent="0.2">
      <c r="C240" s="7" t="str">
        <f>C238&amp;D238&amp;E238&amp;F238&amp;G238</f>
        <v>pulsewidthhigh/1000000*(9000)+(-8)</v>
      </c>
    </row>
    <row r="242" spans="1:97" s="4" customFormat="1" x14ac:dyDescent="0.2"/>
    <row r="244" spans="1:97" x14ac:dyDescent="0.2">
      <c r="A244" s="17" t="s">
        <v>156</v>
      </c>
    </row>
    <row r="245" spans="1:97" x14ac:dyDescent="0.2">
      <c r="B245" t="s">
        <v>2</v>
      </c>
    </row>
    <row r="246" spans="1:97" x14ac:dyDescent="0.2">
      <c r="C246" s="15" t="s">
        <v>144</v>
      </c>
      <c r="D246" s="2">
        <v>10000</v>
      </c>
      <c r="E246" s="2"/>
      <c r="F246" t="s">
        <v>145</v>
      </c>
    </row>
    <row r="247" spans="1:97" x14ac:dyDescent="0.2">
      <c r="C247" t="s">
        <v>146</v>
      </c>
      <c r="D247" s="16">
        <v>1.1253088521219999E-3</v>
      </c>
      <c r="E247" s="2"/>
      <c r="G247" s="12"/>
    </row>
    <row r="248" spans="1:97" x14ac:dyDescent="0.2">
      <c r="C248" t="s">
        <v>147</v>
      </c>
      <c r="D248" s="16">
        <v>2.3471186326700001E-4</v>
      </c>
      <c r="E248" s="2"/>
    </row>
    <row r="249" spans="1:97" x14ac:dyDescent="0.2">
      <c r="C249" t="s">
        <v>148</v>
      </c>
      <c r="D249" s="16">
        <v>8.5663515999999997E-8</v>
      </c>
      <c r="E249" s="2"/>
    </row>
    <row r="250" spans="1:97" x14ac:dyDescent="0.2">
      <c r="B250" t="s">
        <v>7</v>
      </c>
    </row>
    <row r="251" spans="1:97" x14ac:dyDescent="0.2">
      <c r="C251" s="13" t="s">
        <v>172</v>
      </c>
      <c r="H251" s="3"/>
    </row>
    <row r="252" spans="1:97" x14ac:dyDescent="0.2">
      <c r="B252" s="12" t="s">
        <v>157</v>
      </c>
    </row>
    <row r="253" spans="1:97" s="18" customFormat="1" ht="14" x14ac:dyDescent="0.2">
      <c r="C253" s="18" t="s">
        <v>149</v>
      </c>
      <c r="D253" s="19">
        <f>D247</f>
        <v>1.1253088521219999E-3</v>
      </c>
      <c r="E253" s="20" t="s">
        <v>11</v>
      </c>
      <c r="F253" s="21">
        <f>D248</f>
        <v>2.3471186326700001E-4</v>
      </c>
      <c r="G253" s="18" t="s">
        <v>173</v>
      </c>
      <c r="H253" s="18">
        <f>D246</f>
        <v>10000</v>
      </c>
      <c r="I253" s="20" t="s">
        <v>150</v>
      </c>
      <c r="J253" s="19">
        <f>D249</f>
        <v>8.5663515999999997E-8</v>
      </c>
      <c r="K253" s="18" t="s">
        <v>174</v>
      </c>
      <c r="L253" s="18">
        <f>D246</f>
        <v>10000</v>
      </c>
      <c r="M253" s="20" t="s">
        <v>151</v>
      </c>
      <c r="N253" s="22"/>
      <c r="O253" s="20"/>
      <c r="P253" s="22"/>
      <c r="S253" s="20"/>
      <c r="U253" s="20"/>
      <c r="W253" s="20"/>
      <c r="AS253" s="20"/>
      <c r="AU253" s="20"/>
      <c r="CG253" s="20"/>
      <c r="CM253" s="20"/>
      <c r="CO253" s="20"/>
      <c r="CS253" s="20"/>
    </row>
    <row r="254" spans="1:97" x14ac:dyDescent="0.2">
      <c r="B254" t="s">
        <v>10</v>
      </c>
      <c r="C254" s="8"/>
    </row>
    <row r="255" spans="1:97" x14ac:dyDescent="0.2">
      <c r="C255" s="7" t="str">
        <f>C253&amp;D253&amp;E253&amp;F253&amp;G253&amp;H253&amp;I253&amp;J253&amp;K253&amp;L253&amp;M253</f>
        <v>1/(0.001125308852122+0.000234711863267*(log((pwrvoltage-voltage)/(voltage/10000)))+0.000000085663516*(LOG((pwrvoltage-voltage)/(voltage/10000)))^3) +(-273.15)</v>
      </c>
    </row>
    <row r="257" spans="1:97" s="4" customFormat="1" x14ac:dyDescent="0.2"/>
    <row r="259" spans="1:97" x14ac:dyDescent="0.2">
      <c r="A259" s="17" t="s">
        <v>175</v>
      </c>
    </row>
    <row r="260" spans="1:97" x14ac:dyDescent="0.2">
      <c r="B260" t="s">
        <v>2</v>
      </c>
    </row>
    <row r="261" spans="1:97" x14ac:dyDescent="0.2">
      <c r="C261" s="15" t="s">
        <v>144</v>
      </c>
      <c r="D261" s="2">
        <v>10000</v>
      </c>
      <c r="E261" s="2"/>
      <c r="F261" t="s">
        <v>145</v>
      </c>
    </row>
    <row r="262" spans="1:97" x14ac:dyDescent="0.2">
      <c r="C262" t="s">
        <v>146</v>
      </c>
      <c r="D262" s="16">
        <v>1.1253088521219999E-3</v>
      </c>
      <c r="E262" s="2"/>
      <c r="G262" s="12"/>
    </row>
    <row r="263" spans="1:97" x14ac:dyDescent="0.2">
      <c r="C263" t="s">
        <v>147</v>
      </c>
      <c r="D263" s="16">
        <v>2.3471186326700001E-4</v>
      </c>
      <c r="E263" s="2"/>
    </row>
    <row r="264" spans="1:97" x14ac:dyDescent="0.2">
      <c r="C264" t="s">
        <v>148</v>
      </c>
      <c r="D264" s="16">
        <v>8.5663515999999997E-8</v>
      </c>
      <c r="E264" s="2"/>
    </row>
    <row r="265" spans="1:97" x14ac:dyDescent="0.2">
      <c r="B265" t="s">
        <v>7</v>
      </c>
    </row>
    <row r="266" spans="1:97" x14ac:dyDescent="0.2">
      <c r="C266" s="13" t="s">
        <v>172</v>
      </c>
      <c r="H266" s="3"/>
    </row>
    <row r="267" spans="1:97" x14ac:dyDescent="0.2">
      <c r="B267" s="12" t="s">
        <v>157</v>
      </c>
    </row>
    <row r="268" spans="1:97" s="18" customFormat="1" ht="14" x14ac:dyDescent="0.2">
      <c r="C268" s="18" t="s">
        <v>177</v>
      </c>
      <c r="D268" s="19">
        <f>D262</f>
        <v>1.1253088521219999E-3</v>
      </c>
      <c r="E268" s="20" t="s">
        <v>11</v>
      </c>
      <c r="F268" s="21">
        <f>D263</f>
        <v>2.3471186326700001E-4</v>
      </c>
      <c r="G268" s="18" t="s">
        <v>173</v>
      </c>
      <c r="H268" s="18">
        <f>D261</f>
        <v>10000</v>
      </c>
      <c r="I268" s="20" t="s">
        <v>150</v>
      </c>
      <c r="J268" s="19">
        <f>D264</f>
        <v>8.5663515999999997E-8</v>
      </c>
      <c r="K268" s="18" t="s">
        <v>174</v>
      </c>
      <c r="L268" s="18">
        <f>D261</f>
        <v>10000</v>
      </c>
      <c r="M268" s="20" t="s">
        <v>176</v>
      </c>
      <c r="N268" s="22"/>
      <c r="O268" s="20"/>
      <c r="P268" s="22"/>
      <c r="S268" s="20"/>
      <c r="U268" s="20"/>
      <c r="W268" s="20"/>
      <c r="AS268" s="20"/>
      <c r="AU268" s="20"/>
      <c r="CG268" s="20"/>
      <c r="CM268" s="20"/>
      <c r="CO268" s="20"/>
      <c r="CS268" s="20"/>
    </row>
    <row r="269" spans="1:97" x14ac:dyDescent="0.2">
      <c r="B269" t="s">
        <v>10</v>
      </c>
      <c r="C269" s="8"/>
    </row>
    <row r="270" spans="1:97" x14ac:dyDescent="0.2">
      <c r="C270" s="7" t="str">
        <f>C268&amp;D268&amp;E268&amp;F268&amp;G268&amp;H268&amp;I268&amp;J268&amp;K268&amp;L268&amp;M268</f>
        <v>(1/(0.001125308852122+0.000234711863267*(log((pwrvoltage-voltage)/(voltage/10000)))+0.000000085663516*(LOG((pwrvoltage-voltage)/(voltage/10000)))^3)-273.15)*(9/5)+32</v>
      </c>
    </row>
    <row r="272" spans="1:97" s="4" customFormat="1" x14ac:dyDescent="0.2"/>
    <row r="274" spans="1:97" x14ac:dyDescent="0.2">
      <c r="A274" s="17" t="s">
        <v>178</v>
      </c>
    </row>
    <row r="275" spans="1:97" x14ac:dyDescent="0.2">
      <c r="B275" t="s">
        <v>2</v>
      </c>
    </row>
    <row r="276" spans="1:97" x14ac:dyDescent="0.2">
      <c r="C276" s="15" t="s">
        <v>144</v>
      </c>
      <c r="D276" s="2">
        <v>10000</v>
      </c>
      <c r="E276" s="2"/>
      <c r="F276" t="s">
        <v>145</v>
      </c>
    </row>
    <row r="277" spans="1:97" x14ac:dyDescent="0.2">
      <c r="C277" t="s">
        <v>146</v>
      </c>
      <c r="D277" s="16">
        <v>1.1253088521219999E-3</v>
      </c>
      <c r="E277" s="2"/>
      <c r="G277" s="12"/>
    </row>
    <row r="278" spans="1:97" x14ac:dyDescent="0.2">
      <c r="C278" t="s">
        <v>147</v>
      </c>
      <c r="D278" s="16">
        <v>2.3471186326700001E-4</v>
      </c>
      <c r="E278" s="2"/>
    </row>
    <row r="279" spans="1:97" x14ac:dyDescent="0.2">
      <c r="C279" t="s">
        <v>148</v>
      </c>
      <c r="D279" s="16">
        <v>8.5663515999999997E-8</v>
      </c>
      <c r="E279" s="2"/>
    </row>
    <row r="280" spans="1:97" x14ac:dyDescent="0.2">
      <c r="B280" t="s">
        <v>7</v>
      </c>
    </row>
    <row r="281" spans="1:97" x14ac:dyDescent="0.2">
      <c r="C281" s="13" t="s">
        <v>172</v>
      </c>
      <c r="H281" s="3"/>
    </row>
    <row r="282" spans="1:97" x14ac:dyDescent="0.2">
      <c r="B282" s="12" t="s">
        <v>157</v>
      </c>
    </row>
    <row r="283" spans="1:97" s="18" customFormat="1" ht="14" x14ac:dyDescent="0.2">
      <c r="C283" s="18" t="s">
        <v>149</v>
      </c>
      <c r="D283" s="19">
        <f>D277</f>
        <v>1.1253088521219999E-3</v>
      </c>
      <c r="E283" s="18" t="s">
        <v>11</v>
      </c>
      <c r="F283" s="21">
        <f>D278</f>
        <v>2.3471186326700001E-4</v>
      </c>
      <c r="G283" s="18" t="s">
        <v>179</v>
      </c>
      <c r="H283" s="18">
        <f>D276</f>
        <v>10000</v>
      </c>
      <c r="I283" s="18" t="s">
        <v>150</v>
      </c>
      <c r="J283" s="19">
        <f>D279</f>
        <v>8.5663515999999997E-8</v>
      </c>
      <c r="K283" s="18" t="s">
        <v>180</v>
      </c>
      <c r="L283" s="18">
        <f>D276</f>
        <v>10000</v>
      </c>
      <c r="M283" s="18" t="s">
        <v>151</v>
      </c>
      <c r="P283" s="22"/>
      <c r="S283" s="20"/>
      <c r="U283" s="20"/>
      <c r="W283" s="20"/>
      <c r="AS283" s="20"/>
      <c r="AU283" s="20"/>
      <c r="CG283" s="20"/>
      <c r="CM283" s="20"/>
      <c r="CO283" s="20"/>
      <c r="CS283" s="20"/>
    </row>
    <row r="284" spans="1:97" x14ac:dyDescent="0.2">
      <c r="B284" t="s">
        <v>10</v>
      </c>
      <c r="C284" s="8"/>
    </row>
    <row r="285" spans="1:97" x14ac:dyDescent="0.2">
      <c r="C285" s="7" t="str">
        <f>C283&amp;D283&amp;E283&amp;F283&amp;G283&amp;H283&amp;I283&amp;J283&amp;K283&amp;L283&amp;M283</f>
        <v>1/(0.001125308852122+0.000234711863267*(log((voltage)/((pwrvoltage-voltage)/10000)))+0.000000085663516*(LOG((voltage)/((pwrvoltage-voltage)/10000)))^3) +(-273.15)</v>
      </c>
    </row>
    <row r="287" spans="1:97" s="4" customFormat="1" x14ac:dyDescent="0.2"/>
    <row r="289" spans="1:97" x14ac:dyDescent="0.2">
      <c r="A289" s="17" t="s">
        <v>181</v>
      </c>
    </row>
    <row r="290" spans="1:97" x14ac:dyDescent="0.2">
      <c r="B290" t="s">
        <v>2</v>
      </c>
    </row>
    <row r="291" spans="1:97" x14ac:dyDescent="0.2">
      <c r="C291" s="15" t="s">
        <v>144</v>
      </c>
      <c r="D291" s="2">
        <v>10000</v>
      </c>
      <c r="E291" s="2"/>
      <c r="F291" t="s">
        <v>145</v>
      </c>
    </row>
    <row r="292" spans="1:97" x14ac:dyDescent="0.2">
      <c r="C292" t="s">
        <v>146</v>
      </c>
      <c r="D292" s="16">
        <v>1.1253088521219999E-3</v>
      </c>
      <c r="E292" s="2"/>
      <c r="G292" s="12"/>
    </row>
    <row r="293" spans="1:97" x14ac:dyDescent="0.2">
      <c r="C293" t="s">
        <v>147</v>
      </c>
      <c r="D293" s="16">
        <v>2.3471186326700001E-4</v>
      </c>
      <c r="E293" s="2"/>
    </row>
    <row r="294" spans="1:97" x14ac:dyDescent="0.2">
      <c r="C294" t="s">
        <v>148</v>
      </c>
      <c r="D294" s="16">
        <v>8.5663515999999997E-8</v>
      </c>
      <c r="E294" s="2"/>
    </row>
    <row r="295" spans="1:97" x14ac:dyDescent="0.2">
      <c r="B295" t="s">
        <v>7</v>
      </c>
    </row>
    <row r="296" spans="1:97" x14ac:dyDescent="0.2">
      <c r="C296" s="13" t="s">
        <v>172</v>
      </c>
      <c r="H296" s="3"/>
    </row>
    <row r="297" spans="1:97" x14ac:dyDescent="0.2">
      <c r="B297" s="12" t="s">
        <v>157</v>
      </c>
    </row>
    <row r="298" spans="1:97" s="18" customFormat="1" ht="14" x14ac:dyDescent="0.2">
      <c r="C298" s="18" t="s">
        <v>177</v>
      </c>
      <c r="D298" s="19">
        <f>D292</f>
        <v>1.1253088521219999E-3</v>
      </c>
      <c r="E298" s="18" t="s">
        <v>11</v>
      </c>
      <c r="F298" s="21">
        <f>D293</f>
        <v>2.3471186326700001E-4</v>
      </c>
      <c r="G298" s="18" t="s">
        <v>179</v>
      </c>
      <c r="H298" s="18">
        <f>D291</f>
        <v>10000</v>
      </c>
      <c r="I298" s="18" t="s">
        <v>150</v>
      </c>
      <c r="J298" s="19">
        <f>D294</f>
        <v>8.5663515999999997E-8</v>
      </c>
      <c r="K298" s="18" t="s">
        <v>180</v>
      </c>
      <c r="L298" s="18">
        <f>D291</f>
        <v>10000</v>
      </c>
      <c r="M298" s="18" t="s">
        <v>176</v>
      </c>
      <c r="P298" s="22"/>
      <c r="S298" s="20"/>
      <c r="U298" s="20"/>
      <c r="W298" s="20"/>
      <c r="AS298" s="20"/>
      <c r="AU298" s="20"/>
      <c r="CG298" s="20"/>
      <c r="CM298" s="20"/>
      <c r="CO298" s="20"/>
      <c r="CS298" s="20"/>
    </row>
    <row r="299" spans="1:97" x14ac:dyDescent="0.2">
      <c r="B299" t="s">
        <v>10</v>
      </c>
      <c r="C299" s="8"/>
    </row>
    <row r="300" spans="1:97" x14ac:dyDescent="0.2">
      <c r="C300" s="7" t="str">
        <f>C298&amp;D298&amp;E298&amp;F298&amp;G298&amp;H298&amp;I298&amp;J298&amp;K298&amp;L298&amp;M298</f>
        <v>(1/(0.001125308852122+0.000234711863267*(log((voltage)/((pwrvoltage-voltage)/10000)))+0.000000085663516*(LOG((voltage)/((pwrvoltage-voltage)/10000)))^3)-273.15)*(9/5)+32</v>
      </c>
    </row>
    <row r="302" spans="1:97" s="4" customFormat="1" x14ac:dyDescent="0.2"/>
    <row r="304" spans="1:97" x14ac:dyDescent="0.2">
      <c r="A304" s="17" t="s">
        <v>224</v>
      </c>
    </row>
    <row r="305" spans="1:38" x14ac:dyDescent="0.2">
      <c r="B305" t="s">
        <v>2</v>
      </c>
    </row>
    <row r="306" spans="1:38" s="27" customFormat="1" x14ac:dyDescent="0.2">
      <c r="C306" s="28" t="s">
        <v>186</v>
      </c>
      <c r="D306" s="29">
        <v>12</v>
      </c>
      <c r="E306" s="29">
        <v>13</v>
      </c>
      <c r="F306" s="27">
        <v>11</v>
      </c>
      <c r="G306" s="27">
        <v>14</v>
      </c>
      <c r="H306" s="27">
        <v>10</v>
      </c>
      <c r="I306" s="27">
        <v>15</v>
      </c>
      <c r="J306" s="27">
        <v>9</v>
      </c>
      <c r="K306" s="27">
        <v>16</v>
      </c>
      <c r="L306" s="27">
        <v>8</v>
      </c>
      <c r="M306" s="27">
        <v>17</v>
      </c>
      <c r="N306" s="27">
        <v>7</v>
      </c>
    </row>
    <row r="307" spans="1:38" x14ac:dyDescent="0.2">
      <c r="C307" t="s">
        <v>187</v>
      </c>
      <c r="D307" s="25">
        <v>11</v>
      </c>
      <c r="E307" s="2"/>
      <c r="F307" t="s">
        <v>195</v>
      </c>
      <c r="G307" s="12"/>
      <c r="L307" t="s">
        <v>194</v>
      </c>
    </row>
    <row r="308" spans="1:38" x14ac:dyDescent="0.2">
      <c r="C308" t="s">
        <v>188</v>
      </c>
      <c r="D308" s="26">
        <v>2.1</v>
      </c>
      <c r="E308" s="2"/>
      <c r="F308" t="s">
        <v>63</v>
      </c>
    </row>
    <row r="309" spans="1:38" x14ac:dyDescent="0.2">
      <c r="B309" t="s">
        <v>7</v>
      </c>
    </row>
    <row r="310" spans="1:38" x14ac:dyDescent="0.2">
      <c r="C310" s="13" t="s">
        <v>189</v>
      </c>
      <c r="H310" s="3"/>
    </row>
    <row r="311" spans="1:38" x14ac:dyDescent="0.2">
      <c r="B311" s="12" t="s">
        <v>157</v>
      </c>
    </row>
    <row r="312" spans="1:38" s="30" customFormat="1" x14ac:dyDescent="0.2">
      <c r="C312" s="30" t="s">
        <v>193</v>
      </c>
      <c r="D312" s="31" t="str">
        <f>TEXT(D306,"00.00;;")</f>
        <v>12.00</v>
      </c>
      <c r="E312" s="31" t="str">
        <f t="shared" ref="E312:AG312" si="0">TEXT(E306,"00.00;;")</f>
        <v>13.00</v>
      </c>
      <c r="F312" s="31" t="str">
        <f t="shared" si="0"/>
        <v>11.00</v>
      </c>
      <c r="G312" s="31" t="str">
        <f t="shared" si="0"/>
        <v>14.00</v>
      </c>
      <c r="H312" s="31" t="str">
        <f t="shared" si="0"/>
        <v>10.00</v>
      </c>
      <c r="I312" s="31" t="str">
        <f t="shared" si="0"/>
        <v>15.00</v>
      </c>
      <c r="J312" s="31" t="str">
        <f t="shared" si="0"/>
        <v>09.00</v>
      </c>
      <c r="K312" s="31" t="str">
        <f t="shared" si="0"/>
        <v>16.00</v>
      </c>
      <c r="L312" s="31" t="str">
        <f t="shared" si="0"/>
        <v>08.00</v>
      </c>
      <c r="M312" s="31" t="str">
        <f t="shared" si="0"/>
        <v>17.00</v>
      </c>
      <c r="N312" s="31" t="str">
        <f t="shared" si="0"/>
        <v>07.00</v>
      </c>
      <c r="O312" s="31" t="str">
        <f t="shared" si="0"/>
        <v/>
      </c>
      <c r="P312" s="31" t="str">
        <f t="shared" si="0"/>
        <v/>
      </c>
      <c r="Q312" s="31" t="str">
        <f t="shared" si="0"/>
        <v/>
      </c>
      <c r="R312" s="31" t="str">
        <f t="shared" si="0"/>
        <v/>
      </c>
      <c r="S312" s="31" t="str">
        <f t="shared" si="0"/>
        <v/>
      </c>
      <c r="T312" s="31" t="str">
        <f t="shared" si="0"/>
        <v/>
      </c>
      <c r="U312" s="31" t="str">
        <f t="shared" si="0"/>
        <v/>
      </c>
      <c r="V312" s="31" t="str">
        <f t="shared" si="0"/>
        <v/>
      </c>
      <c r="W312" s="31" t="str">
        <f t="shared" si="0"/>
        <v/>
      </c>
      <c r="X312" s="31" t="str">
        <f t="shared" si="0"/>
        <v/>
      </c>
      <c r="Y312" s="31" t="str">
        <f t="shared" si="0"/>
        <v/>
      </c>
      <c r="Z312" s="31" t="str">
        <f t="shared" si="0"/>
        <v/>
      </c>
      <c r="AA312" s="31" t="str">
        <f t="shared" si="0"/>
        <v/>
      </c>
      <c r="AB312" s="31" t="str">
        <f t="shared" si="0"/>
        <v/>
      </c>
      <c r="AC312" s="31" t="str">
        <f t="shared" si="0"/>
        <v/>
      </c>
      <c r="AD312" s="31" t="str">
        <f t="shared" si="0"/>
        <v/>
      </c>
      <c r="AE312" s="31" t="str">
        <f t="shared" si="0"/>
        <v/>
      </c>
      <c r="AF312" s="31" t="str">
        <f t="shared" si="0"/>
        <v/>
      </c>
      <c r="AG312" s="31" t="str">
        <f t="shared" si="0"/>
        <v/>
      </c>
      <c r="AH312" s="32" t="s">
        <v>191</v>
      </c>
      <c r="AI312" s="30">
        <f>1/D308</f>
        <v>0.47619047619047616</v>
      </c>
      <c r="AJ312" s="32" t="s">
        <v>192</v>
      </c>
      <c r="AK312" s="30">
        <f>D307</f>
        <v>11</v>
      </c>
      <c r="AL312" s="32" t="s">
        <v>190</v>
      </c>
    </row>
    <row r="313" spans="1:38" x14ac:dyDescent="0.2">
      <c r="B313" t="s">
        <v>10</v>
      </c>
      <c r="C313" s="8"/>
    </row>
    <row r="314" spans="1:38" x14ac:dyDescent="0.2">
      <c r="C314" s="7" t="str">
        <f>C312&amp;D312&amp;E312&amp;F312&amp;G312&amp;H312&amp;I312&amp;J312&amp;K312&amp;L312&amp;M312&amp;N312&amp;O312&amp;P312&amp;Q312&amp;R312&amp;S312&amp;T312&amp;U312&amp;V312&amp;W312&amp;X312&amp;Y312&amp;Z312&amp;AA312&amp;AB312&amp;AC312&amp;AD312&amp;AE312&amp;AF312&amp;AG312&amp;AH312&amp;AI312&amp;AJ312&amp;AK312&amp;AL312&amp;AM312&amp;AN312&amp;AO312&amp;AP312&amp;AQ312&amp;AR312&amp;AS312&amp;AT312&amp;AU312&amp;AV312&amp;AW312&amp;AX312&amp;AY312&amp;AZ312&amp;BA312&amp;BB312&amp;BC312&amp;BD312&amp;BE312&amp;BF312&amp;BG312&amp;BH312&amp;BI312&amp;BJ312&amp;BK312&amp;BL312&amp;BM312&amp;BN312&amp;BO312&amp;BP312&amp;BQ312&amp;BR312&amp;BS312&amp;BT312&amp;BU312&amp;BV312&amp;BW312&amp;BX312&amp;BY312&amp;BZ312&amp;CA312&amp;CB312&amp;CC312&amp;CD312&amp;CE312&amp;CF312&amp;CG312&amp;CH312&amp;CI312&amp;CJ312&amp;CK312&amp;CL312&amp;CM312&amp;CN312&amp;CO312&amp;CP312&amp;CQ312&amp;CR312&amp;CS312&amp;CT312&amp;CU312&amp;CV312&amp;CW312&amp;CX312&amp;CY312&amp;CZ312&amp;DA312</f>
        <v>val(mid("12.0013.0011.0014.0010.0015.0009.0016.0008.0017.0007.00",5*floor(srunning * 0.476190476190476 mod 11)+1,5))</v>
      </c>
    </row>
    <row r="316" spans="1:38" s="4" customFormat="1" x14ac:dyDescent="0.2"/>
    <row r="318" spans="1:38" x14ac:dyDescent="0.2">
      <c r="A318" s="6" t="s">
        <v>196</v>
      </c>
    </row>
    <row r="319" spans="1:38" x14ac:dyDescent="0.2">
      <c r="B319" t="s">
        <v>2</v>
      </c>
    </row>
    <row r="320" spans="1:38" x14ac:dyDescent="0.2">
      <c r="C320" t="s">
        <v>197</v>
      </c>
      <c r="D320" s="2">
        <v>0.5</v>
      </c>
      <c r="E320" s="2"/>
      <c r="F320" t="s">
        <v>5</v>
      </c>
      <c r="G320" t="s">
        <v>207</v>
      </c>
    </row>
    <row r="321" spans="1:15" x14ac:dyDescent="0.2">
      <c r="C321" t="s">
        <v>198</v>
      </c>
      <c r="D321" s="2">
        <v>4.5</v>
      </c>
      <c r="E321" s="2"/>
      <c r="F321" t="s">
        <v>5</v>
      </c>
      <c r="G321" t="s">
        <v>207</v>
      </c>
    </row>
    <row r="322" spans="1:15" x14ac:dyDescent="0.2">
      <c r="C322" t="s">
        <v>199</v>
      </c>
      <c r="D322" s="2">
        <v>10</v>
      </c>
      <c r="E322" s="2"/>
      <c r="F322" t="s">
        <v>5</v>
      </c>
      <c r="G322" t="s">
        <v>206</v>
      </c>
    </row>
    <row r="323" spans="1:15" x14ac:dyDescent="0.2">
      <c r="C323" t="s">
        <v>200</v>
      </c>
      <c r="D323" s="2">
        <v>2</v>
      </c>
      <c r="E323" s="2"/>
      <c r="F323" t="s">
        <v>5</v>
      </c>
      <c r="G323" t="s">
        <v>206</v>
      </c>
    </row>
    <row r="324" spans="1:15" x14ac:dyDescent="0.2">
      <c r="B324" t="s">
        <v>7</v>
      </c>
    </row>
    <row r="325" spans="1:15" x14ac:dyDescent="0.2">
      <c r="C325" t="s">
        <v>201</v>
      </c>
    </row>
    <row r="326" spans="1:15" x14ac:dyDescent="0.2">
      <c r="B326" s="8" t="s">
        <v>157</v>
      </c>
    </row>
    <row r="327" spans="1:15" x14ac:dyDescent="0.2">
      <c r="C327" t="s">
        <v>204</v>
      </c>
      <c r="D327">
        <f>D323</f>
        <v>2</v>
      </c>
      <c r="E327" s="33" t="s">
        <v>20</v>
      </c>
      <c r="F327">
        <f>D322</f>
        <v>10</v>
      </c>
      <c r="G327" t="s">
        <v>202</v>
      </c>
      <c r="H327">
        <f>D321</f>
        <v>4.5</v>
      </c>
      <c r="I327" s="33" t="s">
        <v>20</v>
      </c>
      <c r="J327">
        <f>D320</f>
        <v>0.5</v>
      </c>
      <c r="K327" t="s">
        <v>203</v>
      </c>
      <c r="L327">
        <f>D320</f>
        <v>0.5</v>
      </c>
      <c r="M327" t="s">
        <v>205</v>
      </c>
      <c r="N327">
        <f>D322</f>
        <v>10</v>
      </c>
      <c r="O327" t="s">
        <v>31</v>
      </c>
    </row>
    <row r="328" spans="1:15" x14ac:dyDescent="0.2">
      <c r="B328" t="s">
        <v>10</v>
      </c>
      <c r="C328" s="8"/>
    </row>
    <row r="329" spans="1:15" x14ac:dyDescent="0.2">
      <c r="C329" s="7" t="str">
        <f>C327&amp;D327&amp;E327&amp;F327&amp;G327&amp;H327&amp;I327&amp;J327&amp;K327&amp;L327&amp;M327&amp;N327&amp;O327&amp;P327</f>
        <v>(((2-10)/(4.5-0.5))*(voltage - 0.5)+10)</v>
      </c>
    </row>
    <row r="331" spans="1:15" s="4" customFormat="1" x14ac:dyDescent="0.2"/>
    <row r="333" spans="1:15" x14ac:dyDescent="0.2">
      <c r="A333" s="17" t="s">
        <v>208</v>
      </c>
    </row>
    <row r="334" spans="1:15" x14ac:dyDescent="0.2">
      <c r="A334" s="6"/>
      <c r="B334" t="s">
        <v>209</v>
      </c>
    </row>
    <row r="335" spans="1:15" x14ac:dyDescent="0.2">
      <c r="A335" s="6"/>
      <c r="B335" t="s">
        <v>210</v>
      </c>
    </row>
    <row r="336" spans="1:15" x14ac:dyDescent="0.2">
      <c r="B336" t="s">
        <v>2</v>
      </c>
    </row>
    <row r="337" spans="2:17" x14ac:dyDescent="0.2">
      <c r="C337" t="s">
        <v>211</v>
      </c>
      <c r="D337" s="34">
        <v>12</v>
      </c>
      <c r="E337" s="2"/>
      <c r="F337" t="s">
        <v>63</v>
      </c>
      <c r="G337" t="s">
        <v>168</v>
      </c>
    </row>
    <row r="338" spans="2:17" x14ac:dyDescent="0.2">
      <c r="C338" t="s">
        <v>212</v>
      </c>
      <c r="D338" s="34">
        <v>0.1</v>
      </c>
      <c r="E338" s="2"/>
      <c r="F338" t="s">
        <v>63</v>
      </c>
      <c r="G338" t="s">
        <v>168</v>
      </c>
    </row>
    <row r="339" spans="2:17" x14ac:dyDescent="0.2">
      <c r="C339" t="s">
        <v>213</v>
      </c>
      <c r="D339" s="34">
        <v>2</v>
      </c>
      <c r="E339" s="2"/>
      <c r="F339" t="s">
        <v>63</v>
      </c>
      <c r="G339" t="s">
        <v>223</v>
      </c>
    </row>
    <row r="340" spans="2:17" x14ac:dyDescent="0.2">
      <c r="C340" t="s">
        <v>214</v>
      </c>
      <c r="D340" s="35">
        <v>1</v>
      </c>
      <c r="E340" s="2"/>
      <c r="F340" t="s">
        <v>5</v>
      </c>
      <c r="G340" t="s">
        <v>215</v>
      </c>
    </row>
    <row r="341" spans="2:17" x14ac:dyDescent="0.2">
      <c r="C341" t="s">
        <v>216</v>
      </c>
      <c r="D341" s="35">
        <v>8</v>
      </c>
      <c r="E341" s="2"/>
      <c r="F341" t="s">
        <v>5</v>
      </c>
      <c r="G341" t="s">
        <v>217</v>
      </c>
    </row>
    <row r="342" spans="2:17" x14ac:dyDescent="0.2">
      <c r="B342" t="s">
        <v>7</v>
      </c>
    </row>
    <row r="344" spans="2:17" x14ac:dyDescent="0.2">
      <c r="B344" t="s">
        <v>157</v>
      </c>
    </row>
    <row r="345" spans="2:17" x14ac:dyDescent="0.2">
      <c r="C345" t="s">
        <v>218</v>
      </c>
      <c r="D345" s="36">
        <f>D338</f>
        <v>0.1</v>
      </c>
      <c r="E345" t="s">
        <v>219</v>
      </c>
      <c r="F345">
        <f>D337/D338</f>
        <v>120</v>
      </c>
      <c r="G345" t="s">
        <v>220</v>
      </c>
      <c r="H345">
        <f>D337/D338-1</f>
        <v>119</v>
      </c>
      <c r="I345" s="33" t="s">
        <v>221</v>
      </c>
      <c r="J345">
        <f>D337</f>
        <v>12</v>
      </c>
      <c r="K345" t="s">
        <v>222</v>
      </c>
      <c r="L345">
        <f>D339/D338-1</f>
        <v>19</v>
      </c>
      <c r="M345" t="s">
        <v>110</v>
      </c>
      <c r="N345">
        <f>D340</f>
        <v>1</v>
      </c>
      <c r="O345" s="33" t="s">
        <v>28</v>
      </c>
      <c r="P345">
        <f>D341</f>
        <v>8</v>
      </c>
      <c r="Q345" t="s">
        <v>31</v>
      </c>
    </row>
    <row r="346" spans="2:17" x14ac:dyDescent="0.2">
      <c r="B346" t="s">
        <v>10</v>
      </c>
    </row>
    <row r="347" spans="2:17" x14ac:dyDescent="0.2">
      <c r="C347" s="7" t="str">
        <f>C345&amp;D345&amp;E345&amp;F345&amp;G345&amp;H345&amp;I345&amp;J345&amp;K345&amp;L345&amp;M345&amp;N345&amp;O345&amp;P345&amp;Q345&amp;R345&amp;S345&amp;T345&amp;U345&amp;V345&amp;W345&amp;X345&amp;Y345&amp;Z345&amp;AA345</f>
        <v>if((srunning/0.1) mod 120 &lt;(119-(srunning/12) mod (19)),1,8)</v>
      </c>
    </row>
  </sheetData>
  <phoneticPr fontId="14" type="noConversion"/>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D46"/>
  <sheetViews>
    <sheetView workbookViewId="0">
      <selection activeCell="B7" sqref="B7"/>
    </sheetView>
  </sheetViews>
  <sheetFormatPr baseColWidth="10" defaultRowHeight="16" x14ac:dyDescent="0.2"/>
  <cols>
    <col min="4" max="4" width="92.83203125" customWidth="1"/>
  </cols>
  <sheetData>
    <row r="4" spans="2:4" x14ac:dyDescent="0.2">
      <c r="B4" s="23" t="s">
        <v>33</v>
      </c>
      <c r="C4" s="23" t="s">
        <v>182</v>
      </c>
      <c r="D4" t="s">
        <v>183</v>
      </c>
    </row>
    <row r="5" spans="2:4" x14ac:dyDescent="0.2">
      <c r="B5" s="24">
        <v>44881</v>
      </c>
      <c r="C5" s="23">
        <v>0.1</v>
      </c>
      <c r="D5" t="s">
        <v>184</v>
      </c>
    </row>
    <row r="6" spans="2:4" x14ac:dyDescent="0.2">
      <c r="B6" s="24">
        <v>45060</v>
      </c>
      <c r="C6" s="23">
        <v>0.2</v>
      </c>
      <c r="D6" t="s">
        <v>185</v>
      </c>
    </row>
    <row r="7" spans="2:4" x14ac:dyDescent="0.2">
      <c r="B7" s="23"/>
      <c r="C7" s="23"/>
    </row>
    <row r="8" spans="2:4" x14ac:dyDescent="0.2">
      <c r="B8" s="23"/>
      <c r="C8" s="23"/>
    </row>
    <row r="9" spans="2:4" x14ac:dyDescent="0.2">
      <c r="B9" s="23"/>
      <c r="C9" s="23"/>
    </row>
    <row r="10" spans="2:4" x14ac:dyDescent="0.2">
      <c r="B10" s="23"/>
      <c r="C10" s="23"/>
    </row>
    <row r="11" spans="2:4" x14ac:dyDescent="0.2">
      <c r="B11" s="23"/>
      <c r="C11" s="23"/>
    </row>
    <row r="12" spans="2:4" x14ac:dyDescent="0.2">
      <c r="B12" s="23"/>
      <c r="C12" s="23"/>
    </row>
    <row r="13" spans="2:4" x14ac:dyDescent="0.2">
      <c r="B13" s="23"/>
      <c r="C13" s="23"/>
    </row>
    <row r="14" spans="2:4" x14ac:dyDescent="0.2">
      <c r="B14" s="23"/>
      <c r="C14" s="23"/>
    </row>
    <row r="15" spans="2:4" x14ac:dyDescent="0.2">
      <c r="B15" s="23"/>
      <c r="C15" s="23"/>
    </row>
    <row r="16" spans="2:4" x14ac:dyDescent="0.2">
      <c r="B16" s="23"/>
      <c r="C16" s="23"/>
    </row>
    <row r="17" spans="2:3" x14ac:dyDescent="0.2">
      <c r="B17" s="23"/>
      <c r="C17" s="23"/>
    </row>
    <row r="18" spans="2:3" x14ac:dyDescent="0.2">
      <c r="B18" s="23"/>
      <c r="C18" s="23"/>
    </row>
    <row r="19" spans="2:3" x14ac:dyDescent="0.2">
      <c r="B19" s="23"/>
      <c r="C19" s="23"/>
    </row>
    <row r="20" spans="2:3" x14ac:dyDescent="0.2">
      <c r="B20" s="23"/>
      <c r="C20" s="23"/>
    </row>
    <row r="21" spans="2:3" x14ac:dyDescent="0.2">
      <c r="B21" s="23"/>
      <c r="C21" s="23"/>
    </row>
    <row r="22" spans="2:3" x14ac:dyDescent="0.2">
      <c r="B22" s="23"/>
      <c r="C22" s="23"/>
    </row>
    <row r="23" spans="2:3" x14ac:dyDescent="0.2">
      <c r="B23" s="23"/>
      <c r="C23" s="23"/>
    </row>
    <row r="24" spans="2:3" x14ac:dyDescent="0.2">
      <c r="B24" s="23"/>
      <c r="C24" s="23"/>
    </row>
    <row r="25" spans="2:3" x14ac:dyDescent="0.2">
      <c r="B25" s="23"/>
      <c r="C25" s="23"/>
    </row>
    <row r="26" spans="2:3" x14ac:dyDescent="0.2">
      <c r="B26" s="23"/>
      <c r="C26" s="23"/>
    </row>
    <row r="27" spans="2:3" x14ac:dyDescent="0.2">
      <c r="B27" s="23"/>
      <c r="C27" s="23"/>
    </row>
    <row r="28" spans="2:3" x14ac:dyDescent="0.2">
      <c r="B28" s="23"/>
      <c r="C28" s="23"/>
    </row>
    <row r="29" spans="2:3" x14ac:dyDescent="0.2">
      <c r="B29" s="23"/>
      <c r="C29" s="23"/>
    </row>
    <row r="30" spans="2:3" x14ac:dyDescent="0.2">
      <c r="B30" s="23"/>
      <c r="C30" s="23"/>
    </row>
    <row r="31" spans="2:3" x14ac:dyDescent="0.2">
      <c r="B31" s="23"/>
      <c r="C31" s="23"/>
    </row>
    <row r="32" spans="2:3" x14ac:dyDescent="0.2">
      <c r="B32" s="23"/>
      <c r="C32" s="23"/>
    </row>
    <row r="33" spans="2:3" x14ac:dyDescent="0.2">
      <c r="B33" s="23"/>
      <c r="C33" s="23"/>
    </row>
    <row r="34" spans="2:3" x14ac:dyDescent="0.2">
      <c r="B34" s="23"/>
      <c r="C34" s="23"/>
    </row>
    <row r="35" spans="2:3" x14ac:dyDescent="0.2">
      <c r="B35" s="23"/>
      <c r="C35" s="23"/>
    </row>
    <row r="36" spans="2:3" x14ac:dyDescent="0.2">
      <c r="B36" s="23"/>
      <c r="C36" s="23"/>
    </row>
    <row r="37" spans="2:3" x14ac:dyDescent="0.2">
      <c r="B37" s="23"/>
      <c r="C37" s="23"/>
    </row>
    <row r="38" spans="2:3" x14ac:dyDescent="0.2">
      <c r="B38" s="23"/>
      <c r="C38" s="23"/>
    </row>
    <row r="39" spans="2:3" x14ac:dyDescent="0.2">
      <c r="B39" s="23"/>
      <c r="C39" s="23"/>
    </row>
    <row r="40" spans="2:3" x14ac:dyDescent="0.2">
      <c r="B40" s="23"/>
      <c r="C40" s="23"/>
    </row>
    <row r="41" spans="2:3" x14ac:dyDescent="0.2">
      <c r="B41" s="23"/>
      <c r="C41" s="23"/>
    </row>
    <row r="42" spans="2:3" x14ac:dyDescent="0.2">
      <c r="B42" s="23"/>
      <c r="C42" s="23"/>
    </row>
    <row r="43" spans="2:3" x14ac:dyDescent="0.2">
      <c r="B43" s="23"/>
      <c r="C43" s="23"/>
    </row>
    <row r="44" spans="2:3" x14ac:dyDescent="0.2">
      <c r="B44" s="23"/>
      <c r="C44" s="23"/>
    </row>
    <row r="45" spans="2:3" x14ac:dyDescent="0.2">
      <c r="B45" s="23"/>
      <c r="C45" s="23"/>
    </row>
    <row r="46" spans="2:3" x14ac:dyDescent="0.2">
      <c r="B46" s="23"/>
      <c r="C46" s="23"/>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Calculations</vt:lpstr>
      <vt:lpstr>Revisions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Rau</dc:creator>
  <cp:lastModifiedBy>robert Rau</cp:lastModifiedBy>
  <dcterms:created xsi:type="dcterms:W3CDTF">2021-09-25T02:37:02Z</dcterms:created>
  <dcterms:modified xsi:type="dcterms:W3CDTF">2023-05-29T16:17:33Z</dcterms:modified>
</cp:coreProperties>
</file>